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20" windowHeight="11205"/>
  </bookViews>
  <sheets>
    <sheet name="城市日均浓度" sheetId="1" r:id="rId1"/>
    <sheet name="对照点日均浓度" sheetId="2" r:id="rId2"/>
    <sheet name="监测点1日均浓度" sheetId="3" r:id="rId3"/>
    <sheet name="监测点2日均浓度" sheetId="4" r:id="rId4"/>
    <sheet name="环境空气情况汇总表" sheetId="5" r:id="rId5"/>
    <sheet name="日均值修约表" sheetId="6" r:id="rId6"/>
  </sheets>
  <definedNames>
    <definedName name="_xlnm.Print_Area" localSheetId="0">城市日均浓度!$A$1:$T$34</definedName>
    <definedName name="_xlnm.Print_Area" localSheetId="1">对照点日均浓度!$A$1:$T$34</definedName>
    <definedName name="_xlnm.Print_Area" localSheetId="2">监测点1日均浓度!$A$1:$T$34</definedName>
    <definedName name="_xlnm.Print_Area" localSheetId="3">监测点2日均浓度!$A$1:$T$34</definedName>
  </definedNames>
  <calcPr calcId="144525"/>
</workbook>
</file>

<file path=xl/sharedStrings.xml><?xml version="1.0" encoding="utf-8"?>
<sst xmlns="http://schemas.openxmlformats.org/spreadsheetml/2006/main" count="78">
  <si>
    <t>城市
名称</t>
  </si>
  <si>
    <t>年</t>
  </si>
  <si>
    <t>月</t>
  </si>
  <si>
    <t>日</t>
  </si>
  <si>
    <t>污染物浓度</t>
  </si>
  <si>
    <t>污染物单项AQI指数</t>
  </si>
  <si>
    <t>AQI指数</t>
  </si>
  <si>
    <t>质量类别</t>
  </si>
  <si>
    <t>首要
污染物</t>
  </si>
  <si>
    <t>污染天数中首要污染物</t>
  </si>
  <si>
    <r>
      <rPr>
        <sz val="12"/>
        <color indexed="8"/>
        <rFont val="宋体"/>
        <charset val="134"/>
      </rPr>
      <t>单位:ug/m</t>
    </r>
    <r>
      <rPr>
        <vertAlign val="superscript"/>
        <sz val="12"/>
        <color indexed="8"/>
        <rFont val="宋体"/>
        <charset val="134"/>
      </rPr>
      <t>3</t>
    </r>
    <r>
      <rPr>
        <sz val="12"/>
        <color indexed="8"/>
        <rFont val="宋体"/>
        <charset val="134"/>
      </rPr>
      <t>(CO:mg/m3）</t>
    </r>
  </si>
  <si>
    <r>
      <rPr>
        <sz val="12"/>
        <color indexed="8"/>
        <rFont val="宋体"/>
        <charset val="134"/>
      </rPr>
      <t>SO</t>
    </r>
    <r>
      <rPr>
        <vertAlign val="subscript"/>
        <sz val="12"/>
        <color indexed="8"/>
        <rFont val="宋体"/>
        <charset val="134"/>
      </rPr>
      <t>2</t>
    </r>
  </si>
  <si>
    <r>
      <rPr>
        <sz val="12"/>
        <color indexed="8"/>
        <rFont val="宋体"/>
        <charset val="134"/>
      </rPr>
      <t>NO</t>
    </r>
    <r>
      <rPr>
        <vertAlign val="subscript"/>
        <sz val="12"/>
        <color indexed="8"/>
        <rFont val="宋体"/>
        <charset val="134"/>
      </rPr>
      <t>2</t>
    </r>
  </si>
  <si>
    <r>
      <rPr>
        <sz val="12"/>
        <color indexed="8"/>
        <rFont val="宋体"/>
        <charset val="134"/>
      </rPr>
      <t>PM</t>
    </r>
    <r>
      <rPr>
        <vertAlign val="subscript"/>
        <sz val="12"/>
        <color indexed="8"/>
        <rFont val="宋体"/>
        <charset val="134"/>
      </rPr>
      <t>10</t>
    </r>
  </si>
  <si>
    <t>CO</t>
  </si>
  <si>
    <t>O3-8h</t>
  </si>
  <si>
    <r>
      <rPr>
        <sz val="12"/>
        <color indexed="8"/>
        <rFont val="宋体"/>
        <charset val="134"/>
      </rPr>
      <t>PM</t>
    </r>
    <r>
      <rPr>
        <vertAlign val="subscript"/>
        <sz val="12"/>
        <color indexed="8"/>
        <rFont val="宋体"/>
        <charset val="134"/>
      </rPr>
      <t>2.5</t>
    </r>
  </si>
  <si>
    <t>会同县</t>
  </si>
  <si>
    <t>最小值</t>
  </si>
  <si>
    <t>最大值</t>
  </si>
  <si>
    <t>月均值</t>
  </si>
  <si>
    <t>有效天</t>
  </si>
  <si>
    <t>超标天</t>
  </si>
  <si>
    <t>超标率</t>
  </si>
  <si>
    <t>总天</t>
  </si>
  <si>
    <t>优</t>
  </si>
  <si>
    <t>良</t>
  </si>
  <si>
    <t>轻度污染</t>
  </si>
  <si>
    <t>中度污染</t>
  </si>
  <si>
    <t>重度污染</t>
  </si>
  <si>
    <t>严重污染</t>
  </si>
  <si>
    <t>有效天数</t>
  </si>
  <si>
    <t>无效天数</t>
  </si>
  <si>
    <t>优良率</t>
  </si>
  <si>
    <t>是否排名</t>
  </si>
  <si>
    <t>监测
点位
名称</t>
  </si>
  <si>
    <t>对照点</t>
  </si>
  <si>
    <t>会同二完小</t>
  </si>
  <si>
    <t>监测点2</t>
  </si>
  <si>
    <t>2018年3月会同县环境空气监测结果统计表</t>
  </si>
  <si>
    <r>
      <rPr>
        <sz val="12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表</t>
    </r>
    <r>
      <rPr>
        <sz val="10.5"/>
        <rFont val="Times New Roman"/>
        <charset val="134"/>
      </rPr>
      <t xml:space="preserve"> 2                                                                                                  </t>
    </r>
    <r>
      <rPr>
        <sz val="10.5"/>
        <rFont val="宋体"/>
        <charset val="134"/>
      </rPr>
      <t>单位：</t>
    </r>
    <r>
      <rPr>
        <sz val="10.5"/>
        <rFont val="Times New Roman"/>
        <charset val="134"/>
      </rPr>
      <t>μg/m</t>
    </r>
    <r>
      <rPr>
        <vertAlign val="superscript"/>
        <sz val="10.5"/>
        <rFont val="Times New Roman"/>
        <charset val="134"/>
      </rPr>
      <t>3</t>
    </r>
    <r>
      <rPr>
        <sz val="10.5"/>
        <rFont val="Times New Roman"/>
        <charset val="134"/>
      </rPr>
      <t xml:space="preserve">  (CO</t>
    </r>
    <r>
      <rPr>
        <sz val="10.5"/>
        <rFont val="宋体"/>
        <charset val="134"/>
      </rPr>
      <t>：</t>
    </r>
    <r>
      <rPr>
        <sz val="10.5"/>
        <rFont val="Times New Roman"/>
        <charset val="134"/>
      </rPr>
      <t>mg/m</t>
    </r>
    <r>
      <rPr>
        <vertAlign val="superscript"/>
        <sz val="10.5"/>
        <rFont val="Times New Roman"/>
        <charset val="134"/>
      </rPr>
      <t>3</t>
    </r>
    <r>
      <rPr>
        <sz val="10.5"/>
        <rFont val="Times New Roman"/>
        <charset val="134"/>
      </rPr>
      <t>)</t>
    </r>
  </si>
  <si>
    <r>
      <rPr>
        <sz val="10.5"/>
        <rFont val="Times New Roman"/>
        <charset val="134"/>
      </rPr>
      <t xml:space="preserve">                     </t>
    </r>
    <r>
      <rPr>
        <sz val="10.5"/>
        <rFont val="宋体"/>
        <charset val="134"/>
      </rPr>
      <t>测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点</t>
    </r>
    <r>
      <rPr>
        <sz val="10.5"/>
        <rFont val="Times New Roman"/>
        <charset val="134"/>
      </rPr>
      <t xml:space="preserve">                                         </t>
    </r>
    <r>
      <rPr>
        <sz val="10.5"/>
        <rFont val="宋体"/>
        <charset val="134"/>
      </rPr>
      <t>项目</t>
    </r>
  </si>
  <si>
    <t>城市平均</t>
  </si>
  <si>
    <r>
      <rPr>
        <sz val="11"/>
        <color theme="1"/>
        <rFont val="宋体"/>
        <charset val="134"/>
      </rPr>
      <t>SO</t>
    </r>
    <r>
      <rPr>
        <vertAlign val="subscript"/>
        <sz val="12"/>
        <rFont val="宋体"/>
        <charset val="134"/>
      </rPr>
      <t>2</t>
    </r>
  </si>
  <si>
    <t>最小日均值</t>
  </si>
  <si>
    <t>最大日均值</t>
  </si>
  <si>
    <r>
      <rPr>
        <sz val="10.5"/>
        <rFont val="宋体"/>
        <charset val="134"/>
      </rPr>
      <t>月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均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值</t>
    </r>
  </si>
  <si>
    <t>上月</t>
  </si>
  <si>
    <t>/</t>
  </si>
  <si>
    <r>
      <rPr>
        <sz val="10.5"/>
        <rFont val="宋体"/>
        <charset val="134"/>
      </rPr>
      <t>较上月增减（</t>
    </r>
    <r>
      <rPr>
        <sz val="10.5"/>
        <rFont val="Times New Roman"/>
        <charset val="134"/>
      </rPr>
      <t>±</t>
    </r>
    <r>
      <rPr>
        <sz val="10.5"/>
        <rFont val="宋体"/>
        <charset val="134"/>
      </rPr>
      <t>）</t>
    </r>
  </si>
  <si>
    <t>去年同期</t>
  </si>
  <si>
    <r>
      <rPr>
        <sz val="10.5"/>
        <rFont val="宋体"/>
        <charset val="134"/>
      </rPr>
      <t>较去年同期（</t>
    </r>
    <r>
      <rPr>
        <sz val="10.5"/>
        <rFont val="Times New Roman"/>
        <charset val="134"/>
      </rPr>
      <t>±</t>
    </r>
    <r>
      <rPr>
        <sz val="10.5"/>
        <rFont val="宋体"/>
        <charset val="134"/>
      </rPr>
      <t>）</t>
    </r>
  </si>
  <si>
    <t>超标天数</t>
  </si>
  <si>
    <r>
      <rPr>
        <sz val="10.5"/>
        <rFont val="宋体"/>
        <charset val="134"/>
      </rPr>
      <t>超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标</t>
    </r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率（</t>
    </r>
    <r>
      <rPr>
        <sz val="10.5"/>
        <rFont val="Times New Roman"/>
        <charset val="134"/>
      </rPr>
      <t>%</t>
    </r>
    <r>
      <rPr>
        <sz val="10.5"/>
        <rFont val="宋体"/>
        <charset val="134"/>
      </rPr>
      <t>）</t>
    </r>
  </si>
  <si>
    <r>
      <rPr>
        <sz val="11"/>
        <color theme="1"/>
        <rFont val="宋体"/>
        <charset val="134"/>
      </rPr>
      <t>NO</t>
    </r>
    <r>
      <rPr>
        <vertAlign val="subscript"/>
        <sz val="12"/>
        <rFont val="宋体"/>
        <charset val="134"/>
      </rPr>
      <t>2</t>
    </r>
  </si>
  <si>
    <t>有效数据个数</t>
  </si>
  <si>
    <t>超标个数</t>
  </si>
  <si>
    <r>
      <rPr>
        <sz val="11"/>
        <color theme="1"/>
        <rFont val="宋体"/>
        <charset val="134"/>
      </rPr>
      <t>PM</t>
    </r>
    <r>
      <rPr>
        <vertAlign val="subscript"/>
        <sz val="12"/>
        <rFont val="宋体"/>
        <charset val="134"/>
      </rPr>
      <t>10</t>
    </r>
  </si>
  <si>
    <t>较上月增减（±）</t>
  </si>
  <si>
    <t>较去年同期（±）</t>
  </si>
  <si>
    <r>
      <rPr>
        <sz val="11"/>
        <color theme="1"/>
        <rFont val="宋体"/>
        <charset val="134"/>
      </rPr>
      <t>O</t>
    </r>
    <r>
      <rPr>
        <vertAlign val="subscript"/>
        <sz val="12"/>
        <rFont val="宋体"/>
        <charset val="134"/>
      </rPr>
      <t>3</t>
    </r>
    <r>
      <rPr>
        <sz val="11"/>
        <color theme="1"/>
        <rFont val="宋体"/>
        <charset val="134"/>
      </rPr>
      <t>-8h</t>
    </r>
  </si>
  <si>
    <r>
      <rPr>
        <sz val="11"/>
        <color theme="1"/>
        <rFont val="宋体"/>
        <charset val="134"/>
      </rPr>
      <t>PM</t>
    </r>
    <r>
      <rPr>
        <vertAlign val="subscript"/>
        <sz val="12"/>
        <rFont val="宋体"/>
        <charset val="134"/>
      </rPr>
      <t>2.5</t>
    </r>
  </si>
  <si>
    <r>
      <rPr>
        <sz val="10.5"/>
        <rFont val="宋体"/>
        <charset val="134"/>
      </rPr>
      <t>注：①</t>
    </r>
    <r>
      <rPr>
        <sz val="10.5"/>
        <rFont val="宋体"/>
        <charset val="134"/>
      </rPr>
      <t>对照点不参与评价。</t>
    </r>
  </si>
  <si>
    <t>修约前</t>
  </si>
  <si>
    <t>修约后</t>
  </si>
  <si>
    <t>城市名称</t>
  </si>
  <si>
    <t xml:space="preserve">SO2 </t>
  </si>
  <si>
    <t>NO2</t>
  </si>
  <si>
    <t xml:space="preserve">PM10 </t>
  </si>
  <si>
    <t xml:space="preserve">CO </t>
  </si>
  <si>
    <t>O3日最大8小时平均</t>
  </si>
  <si>
    <t>PM2.5</t>
  </si>
  <si>
    <t>SO2</t>
  </si>
  <si>
    <t>PM10</t>
  </si>
  <si>
    <t>XXX</t>
  </si>
  <si>
    <t>CO 95PER</t>
  </si>
  <si>
    <t>O3-8h 90PER</t>
  </si>
  <si>
    <t>月均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</si>
</sst>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0_ "/>
    <numFmt numFmtId="178" formatCode="0_ "/>
    <numFmt numFmtId="179" formatCode="\+0.000;[&lt;0]\-0.000"/>
    <numFmt numFmtId="180" formatCode="[$-1010804]General"/>
    <numFmt numFmtId="181" formatCode="0.0_ "/>
  </numFmts>
  <fonts count="38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10.5"/>
      <name val="Times New Roman"/>
      <charset val="134"/>
    </font>
    <font>
      <sz val="10.5"/>
      <name val="宋体"/>
      <charset val="134"/>
    </font>
    <font>
      <sz val="10.5"/>
      <color theme="1"/>
      <name val="Times New Roman"/>
      <charset val="134"/>
    </font>
    <font>
      <sz val="10.5"/>
      <color indexed="10"/>
      <name val="宋体"/>
      <charset val="134"/>
    </font>
    <font>
      <sz val="10.5"/>
      <color theme="1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vertAlign val="superscript"/>
      <sz val="10.5"/>
      <name val="Times New Roman"/>
      <charset val="134"/>
    </font>
    <font>
      <vertAlign val="subscript"/>
      <sz val="12"/>
      <name val="宋体"/>
      <charset val="134"/>
    </font>
    <font>
      <vertAlign val="superscript"/>
      <sz val="12"/>
      <color indexed="8"/>
      <name val="宋体"/>
      <charset val="134"/>
    </font>
    <font>
      <vertAlign val="subscript"/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9" fillId="27" borderId="4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43" applyNumberFormat="0" applyFon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1" applyNumberFormat="0" applyFill="0" applyAlignment="0" applyProtection="0">
      <alignment vertical="center"/>
    </xf>
    <xf numFmtId="0" fontId="16" fillId="0" borderId="4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9" borderId="42" applyNumberFormat="0" applyAlignment="0" applyProtection="0">
      <alignment vertical="center"/>
    </xf>
    <xf numFmtId="0" fontId="32" fillId="19" borderId="46" applyNumberFormat="0" applyAlignment="0" applyProtection="0">
      <alignment vertical="center"/>
    </xf>
    <xf numFmtId="0" fontId="15" fillId="11" borderId="4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47" applyNumberFormat="0" applyFill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177" fontId="2" fillId="0" borderId="0" xfId="0" applyNumberFormat="1" applyFont="1" applyAlignment="1" applyProtection="1">
      <alignment horizontal="center"/>
      <protection locked="0"/>
    </xf>
    <xf numFmtId="177" fontId="0" fillId="0" borderId="0" xfId="0" applyNumberFormat="1" applyFont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</xf>
    <xf numFmtId="11" fontId="0" fillId="0" borderId="4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4" borderId="9" xfId="0" applyNumberFormat="1" applyFont="1" applyFill="1" applyBorder="1" applyAlignment="1" applyProtection="1">
      <alignment horizontal="center" vertical="center" wrapText="1"/>
      <protection locked="0"/>
    </xf>
    <xf numFmtId="176" fontId="6" fillId="4" borderId="9" xfId="0" applyNumberFormat="1" applyFont="1" applyFill="1" applyBorder="1" applyAlignment="1" applyProtection="1">
      <alignment horizontal="center" vertical="center" wrapText="1"/>
      <protection locked="0"/>
    </xf>
    <xf numFmtId="178" fontId="6" fillId="2" borderId="9" xfId="0" applyNumberFormat="1" applyFont="1" applyFill="1" applyBorder="1" applyAlignment="1">
      <alignment horizontal="center" vertical="center" wrapText="1"/>
    </xf>
    <xf numFmtId="178" fontId="8" fillId="2" borderId="9" xfId="0" applyNumberFormat="1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179" fontId="8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protection locked="0"/>
    </xf>
    <xf numFmtId="0" fontId="5" fillId="0" borderId="0" xfId="0" applyFont="1" applyAlignment="1"/>
    <xf numFmtId="0" fontId="0" fillId="0" borderId="0" xfId="0" applyAlignment="1">
      <alignment horizontal="center" vertical="center" readingOrder="1"/>
    </xf>
    <xf numFmtId="180" fontId="9" fillId="2" borderId="12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80" fontId="9" fillId="2" borderId="15" xfId="0" applyNumberFormat="1" applyFont="1" applyFill="1" applyBorder="1" applyAlignment="1">
      <alignment horizontal="center" wrapText="1"/>
    </xf>
    <xf numFmtId="180" fontId="9" fillId="2" borderId="16" xfId="0" applyNumberFormat="1" applyFont="1" applyFill="1" applyBorder="1" applyAlignment="1">
      <alignment horizontal="center" wrapText="1"/>
    </xf>
    <xf numFmtId="180" fontId="9" fillId="2" borderId="17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180" fontId="9" fillId="2" borderId="19" xfId="0" applyNumberFormat="1" applyFont="1" applyFill="1" applyBorder="1" applyAlignment="1">
      <alignment horizontal="center" vertical="top" wrapText="1"/>
    </xf>
    <xf numFmtId="180" fontId="9" fillId="2" borderId="1" xfId="0" applyNumberFormat="1" applyFont="1" applyFill="1" applyBorder="1" applyAlignment="1">
      <alignment horizontal="center" vertical="top" wrapText="1"/>
    </xf>
    <xf numFmtId="180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80" fontId="9" fillId="2" borderId="23" xfId="0" applyNumberFormat="1" applyFont="1" applyFill="1" applyBorder="1" applyAlignment="1">
      <alignment horizontal="center" vertical="center" wrapText="1"/>
    </xf>
    <xf numFmtId="180" fontId="9" fillId="2" borderId="24" xfId="0" applyNumberFormat="1" applyFont="1" applyFill="1" applyBorder="1" applyAlignment="1">
      <alignment horizontal="center" vertical="center" wrapText="1"/>
    </xf>
    <xf numFmtId="180" fontId="9" fillId="2" borderId="25" xfId="0" applyNumberFormat="1" applyFont="1" applyFill="1" applyBorder="1" applyAlignment="1">
      <alignment horizontal="center" vertical="center" wrapText="1"/>
    </xf>
    <xf numFmtId="180" fontId="10" fillId="4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</xf>
    <xf numFmtId="0" fontId="10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9" xfId="0" applyNumberFormat="1" applyFont="1" applyFill="1" applyBorder="1" applyAlignment="1" applyProtection="1">
      <alignment horizontal="center" vertical="center" wrapText="1"/>
      <protection locked="0"/>
    </xf>
    <xf numFmtId="180" fontId="10" fillId="2" borderId="17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10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1" xfId="0" applyNumberFormat="1" applyFont="1" applyFill="1" applyBorder="1" applyAlignment="1" applyProtection="1">
      <alignment horizontal="center" vertical="center" wrapText="1"/>
      <protection locked="0"/>
    </xf>
    <xf numFmtId="180" fontId="10" fillId="2" borderId="20" xfId="0" applyNumberFormat="1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0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3" xfId="0" applyNumberFormat="1" applyFont="1" applyFill="1" applyBorder="1" applyAlignment="1" applyProtection="1">
      <alignment horizontal="center" vertical="center" wrapText="1"/>
      <protection locked="0"/>
    </xf>
    <xf numFmtId="180" fontId="10" fillId="6" borderId="0" xfId="0" applyNumberFormat="1" applyFont="1" applyFill="1" applyBorder="1" applyAlignment="1">
      <alignment horizontal="center" vertical="center" wrapText="1"/>
    </xf>
    <xf numFmtId="0" fontId="10" fillId="6" borderId="0" xfId="0" applyNumberFormat="1" applyFont="1" applyFill="1" applyBorder="1" applyAlignment="1">
      <alignment horizontal="center" vertical="center" wrapText="1"/>
    </xf>
    <xf numFmtId="180" fontId="9" fillId="2" borderId="34" xfId="0" applyNumberFormat="1" applyFont="1" applyFill="1" applyBorder="1" applyAlignment="1">
      <alignment horizontal="center" wrapText="1"/>
    </xf>
    <xf numFmtId="0" fontId="0" fillId="2" borderId="12" xfId="0" applyFill="1" applyBorder="1" applyAlignment="1">
      <alignment horizontal="center" vertical="center"/>
    </xf>
    <xf numFmtId="180" fontId="9" fillId="2" borderId="35" xfId="0" applyNumberFormat="1" applyFont="1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center"/>
    </xf>
    <xf numFmtId="180" fontId="9" fillId="2" borderId="36" xfId="0" applyNumberFormat="1" applyFont="1" applyFill="1" applyBorder="1" applyAlignment="1">
      <alignment horizontal="center" vertical="center" wrapText="1"/>
    </xf>
    <xf numFmtId="0" fontId="10" fillId="4" borderId="37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8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0" fillId="2" borderId="37" xfId="0" applyNumberFormat="1" applyFont="1" applyFill="1" applyBorder="1" applyAlignment="1">
      <alignment horizontal="center" vertical="center" wrapText="1"/>
    </xf>
    <xf numFmtId="0" fontId="10" fillId="4" borderId="38" xfId="0" applyNumberFormat="1" applyFont="1" applyFill="1" applyBorder="1" applyAlignment="1" applyProtection="1">
      <alignment horizontal="center" vertical="center" wrapText="1"/>
      <protection locked="0"/>
    </xf>
    <xf numFmtId="180" fontId="10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39" xfId="0" applyNumberFormat="1" applyFont="1" applyFill="1" applyBorder="1" applyAlignment="1" applyProtection="1">
      <alignment horizontal="center" vertical="center" wrapText="1"/>
      <protection locked="0"/>
    </xf>
    <xf numFmtId="180" fontId="9" fillId="2" borderId="13" xfId="0" applyNumberFormat="1" applyFont="1" applyFill="1" applyBorder="1" applyAlignment="1">
      <alignment horizontal="center" vertical="center" wrapText="1"/>
    </xf>
    <xf numFmtId="180" fontId="9" fillId="2" borderId="14" xfId="0" applyNumberFormat="1" applyFont="1" applyFill="1" applyBorder="1" applyAlignment="1">
      <alignment horizontal="center" vertical="center" wrapText="1"/>
    </xf>
    <xf numFmtId="180" fontId="9" fillId="2" borderId="9" xfId="0" applyNumberFormat="1" applyFont="1" applyFill="1" applyBorder="1" applyAlignment="1">
      <alignment horizontal="center" vertical="center" wrapText="1"/>
    </xf>
    <xf numFmtId="180" fontId="9" fillId="2" borderId="18" xfId="0" applyNumberFormat="1" applyFont="1" applyFill="1" applyBorder="1" applyAlignment="1">
      <alignment horizontal="center" vertical="center" wrapText="1"/>
    </xf>
    <xf numFmtId="180" fontId="9" fillId="2" borderId="21" xfId="0" applyNumberFormat="1" applyFont="1" applyFill="1" applyBorder="1" applyAlignment="1">
      <alignment horizontal="center" vertical="center" wrapText="1"/>
    </xf>
    <xf numFmtId="180" fontId="9" fillId="2" borderId="2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0" fillId="2" borderId="30" xfId="0" applyNumberFormat="1" applyFont="1" applyFill="1" applyBorder="1" applyAlignment="1">
      <alignment horizontal="center" vertical="center" wrapText="1"/>
    </xf>
    <xf numFmtId="0" fontId="10" fillId="2" borderId="31" xfId="0" applyNumberFormat="1" applyFont="1" applyFill="1" applyBorder="1" applyAlignment="1">
      <alignment horizontal="center" vertical="center" wrapText="1"/>
    </xf>
    <xf numFmtId="0" fontId="10" fillId="2" borderId="38" xfId="0" applyNumberFormat="1" applyFont="1" applyFill="1" applyBorder="1" applyAlignment="1">
      <alignment horizontal="center" vertical="center" wrapText="1"/>
    </xf>
    <xf numFmtId="10" fontId="0" fillId="2" borderId="0" xfId="0" applyNumberFormat="1" applyFill="1" applyAlignment="1">
      <alignment horizontal="center" vertical="center"/>
    </xf>
    <xf numFmtId="0" fontId="10" fillId="2" borderId="32" xfId="0" applyNumberFormat="1" applyFont="1" applyFill="1" applyBorder="1" applyAlignment="1">
      <alignment horizontal="center" vertical="center" wrapText="1"/>
    </xf>
    <xf numFmtId="0" fontId="10" fillId="2" borderId="33" xfId="0" applyNumberFormat="1" applyFont="1" applyFill="1" applyBorder="1" applyAlignment="1">
      <alignment horizontal="center" vertical="center" wrapText="1"/>
    </xf>
    <xf numFmtId="0" fontId="10" fillId="2" borderId="39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readingOrder="1"/>
    </xf>
    <xf numFmtId="181" fontId="10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8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tabSelected="1" workbookViewId="0">
      <selection activeCell="C7" sqref="C7"/>
    </sheetView>
  </sheetViews>
  <sheetFormatPr defaultColWidth="9" defaultRowHeight="13.5"/>
  <cols>
    <col min="1" max="1" width="7.875" style="1" customWidth="1"/>
    <col min="2" max="2" width="6.625" style="1" customWidth="1"/>
    <col min="3" max="3" width="5.375" style="1" customWidth="1"/>
    <col min="4" max="4" width="5.125" style="1" customWidth="1"/>
    <col min="5" max="16" width="6.625" style="1" customWidth="1"/>
    <col min="17" max="17" width="7.875" style="1" customWidth="1"/>
    <col min="18" max="20" width="8.625" style="1" customWidth="1"/>
    <col min="21" max="21" width="3.625" style="1" customWidth="1"/>
    <col min="22" max="22" width="9" style="1"/>
    <col min="23" max="23" width="9.75" style="1" customWidth="1"/>
    <col min="24" max="28" width="9" style="1"/>
    <col min="29" max="29" width="10.25" style="1" customWidth="1"/>
    <col min="30" max="30" width="9.625" style="1" customWidth="1"/>
    <col min="31" max="16384" width="9" style="1"/>
  </cols>
  <sheetData>
    <row r="1" ht="18.75" customHeight="1" spans="1:20">
      <c r="A1" s="33" t="s">
        <v>0</v>
      </c>
      <c r="B1" s="34" t="s">
        <v>1</v>
      </c>
      <c r="C1" s="34" t="s">
        <v>2</v>
      </c>
      <c r="D1" s="35" t="s">
        <v>3</v>
      </c>
      <c r="E1" s="36" t="s">
        <v>4</v>
      </c>
      <c r="F1" s="37"/>
      <c r="G1" s="37"/>
      <c r="H1" s="37"/>
      <c r="I1" s="37"/>
      <c r="J1" s="66"/>
      <c r="K1" s="67" t="s">
        <v>5</v>
      </c>
      <c r="L1" s="34"/>
      <c r="M1" s="34"/>
      <c r="N1" s="34"/>
      <c r="O1" s="34"/>
      <c r="P1" s="35"/>
      <c r="Q1" s="33" t="s">
        <v>6</v>
      </c>
      <c r="R1" s="78" t="s">
        <v>7</v>
      </c>
      <c r="S1" s="78" t="s">
        <v>8</v>
      </c>
      <c r="T1" s="79" t="s">
        <v>9</v>
      </c>
    </row>
    <row r="2" ht="19.5" customHeight="1" spans="1:20">
      <c r="A2" s="38"/>
      <c r="B2" s="39"/>
      <c r="C2" s="39"/>
      <c r="D2" s="40"/>
      <c r="E2" s="41" t="s">
        <v>10</v>
      </c>
      <c r="F2" s="42"/>
      <c r="G2" s="42"/>
      <c r="H2" s="42"/>
      <c r="I2" s="42"/>
      <c r="J2" s="68"/>
      <c r="K2" s="69"/>
      <c r="L2" s="39"/>
      <c r="M2" s="39"/>
      <c r="N2" s="39"/>
      <c r="O2" s="39"/>
      <c r="P2" s="40"/>
      <c r="Q2" s="38"/>
      <c r="R2" s="80"/>
      <c r="S2" s="80"/>
      <c r="T2" s="81"/>
    </row>
    <row r="3" ht="25.5" customHeight="1" spans="1:28">
      <c r="A3" s="43"/>
      <c r="B3" s="44"/>
      <c r="C3" s="44"/>
      <c r="D3" s="45"/>
      <c r="E3" s="46" t="s">
        <v>11</v>
      </c>
      <c r="F3" s="47" t="s">
        <v>12</v>
      </c>
      <c r="G3" s="48" t="s">
        <v>13</v>
      </c>
      <c r="H3" s="48" t="s">
        <v>14</v>
      </c>
      <c r="I3" s="48" t="s">
        <v>15</v>
      </c>
      <c r="J3" s="70" t="s">
        <v>16</v>
      </c>
      <c r="K3" s="46" t="s">
        <v>11</v>
      </c>
      <c r="L3" s="47" t="s">
        <v>12</v>
      </c>
      <c r="M3" s="48" t="s">
        <v>13</v>
      </c>
      <c r="N3" s="48" t="s">
        <v>14</v>
      </c>
      <c r="O3" s="48" t="s">
        <v>15</v>
      </c>
      <c r="P3" s="70" t="s">
        <v>16</v>
      </c>
      <c r="Q3" s="43"/>
      <c r="R3" s="82"/>
      <c r="S3" s="82"/>
      <c r="T3" s="83"/>
      <c r="W3" s="46" t="s">
        <v>11</v>
      </c>
      <c r="X3" s="47" t="s">
        <v>12</v>
      </c>
      <c r="Y3" s="48" t="s">
        <v>13</v>
      </c>
      <c r="Z3" s="48" t="s">
        <v>14</v>
      </c>
      <c r="AA3" s="48" t="s">
        <v>15</v>
      </c>
      <c r="AB3" s="70" t="s">
        <v>16</v>
      </c>
    </row>
    <row r="4" ht="14.1" customHeight="1" spans="1:39">
      <c r="A4" s="54" t="s">
        <v>17</v>
      </c>
      <c r="B4" s="54">
        <v>2019</v>
      </c>
      <c r="C4" s="54">
        <v>7</v>
      </c>
      <c r="D4" s="51">
        <v>1</v>
      </c>
      <c r="E4" s="52">
        <v>5</v>
      </c>
      <c r="F4" s="53">
        <v>4</v>
      </c>
      <c r="G4" s="71">
        <v>37</v>
      </c>
      <c r="H4" s="53">
        <v>0.4</v>
      </c>
      <c r="I4" s="53">
        <v>69</v>
      </c>
      <c r="J4" s="71">
        <v>14</v>
      </c>
      <c r="K4" s="72">
        <f>IF(E4="","",ROUNDUP(IF((50-E4)&gt;=0,E4,IF((150-E4)&gt;=0,0.5*(E4-50)+50,IF((475-E4)&gt;=0,(50/325)*(E4-150)+100,IF((800-E4)&gt;=0,(50/325)*(E4-475)+150,IF((1600-E4)&gt;=0,(1/8)*(E4-800)+200,IF((2100-E4)&gt;=0,(1/5)*(E4-1600)+300,IF((2620-E4)&gt;=0,(10/52)*(E4-2100)+400,""))))))),0))</f>
        <v>5</v>
      </c>
      <c r="L4" s="73">
        <f>IF(F4="","",ROUNDUP(IF((40-F4)&gt;=0,(5/4)*F4,IF((80-F4)&gt;=0,(5/4)*(F4-40)+50,IF((180-F4)&gt;=0,(1/2)*(F4-80)+100,IF((280-F4)&gt;=0,(1/2)*(F4-180)+150,IF((565-F4)&gt;=0,(100/285)*(F4-280)+200,IF((750-F4)&gt;=0,(100/185)*(F4-565)+300,IF((940-F4)&gt;=0,(100/190)*(F4-750)+400,""))))))),0))</f>
        <v>5</v>
      </c>
      <c r="M4" s="73">
        <f>IF(G4="","",ROUNDUP(IF((50-G4)&gt;=0,G4,IF((150-G4)&gt;=0,0.5*(G4-50)+50,IF((250-G4)&gt;=0,0.5*(G4-150)+100,IF((350-G4)&gt;=0,0.5*(G4-250)+150,IF((420-G4)&gt;=0,(10/7)*(G4-350)+200,IF((500-G4)&gt;=0,(10/8)*(G4-420)+300,IF((600-G4)&gt;=0,(G4-500)+400,""))))))),0))</f>
        <v>37</v>
      </c>
      <c r="N4" s="73">
        <f>IF(H4="","",ROUNDUP(IF((2-H4)&gt;=0,25*H4,IF((4-H4)&gt;=0,25*(H4-2)+50,IF((14-H4)&gt;=0,5*(H4-4)+100,IF((24-H4)&gt;=0,5*(H4-14)+150,IF((36-H4)&gt;=0,(100/12)*(H4-24)+200,IF((48-H4)&gt;=0,(100/12)*(H4-36)+300,IF((60-H4)&gt;=0,(100/12)*(H4-48)+400,""))))))),0))</f>
        <v>10</v>
      </c>
      <c r="O4" s="73">
        <v>39</v>
      </c>
      <c r="P4" s="74">
        <f>IF(J4="","",ROUNDUP(IF((35-J4)&gt;=0,(50/35)*J4,IF((75-J4)&gt;=0,(5/4)*(J4-35)+50,IF((115-J4)&gt;=0,(5/4)*(J4-75)+100,IF((150-J4)&gt;=0,(50/35)*(J4-115)+150,IF((250-J4)&gt;=0,(J4-150)+200,IF((350-J4)&gt;=0,(J4-250)+300,IF((500-J4)&gt;=0,(10/15)*(J4-350)+400,""))))))),0))</f>
        <v>20</v>
      </c>
      <c r="Q4" s="72">
        <f>MAX(K4:P4)</f>
        <v>39</v>
      </c>
      <c r="R4" s="73" t="str">
        <f>IF(Q4&gt;100,IF((150-Q4&gt;=0),"轻度污染",IF((200-Q4&gt;=0),"中度污染",IF((300-Q4&gt;=0),"重度污染",IF((Q4&gt;300),"严重污染")))),IF(OR(K4="",L4="",M4="",N4="",O4="",P4=""),"无效",IF((50-Q4&gt;=0),"优",IF((100-Q4&gt;=0),"良"))))</f>
        <v>优</v>
      </c>
      <c r="S4" s="73" t="str">
        <f>IF(R4="无效","",INDEX($K$3:$P$3,MATCH(Q4,K4:P4,0)))</f>
        <v>O3-8h</v>
      </c>
      <c r="T4" s="74" t="str">
        <f>IF(Q4&gt;100,S4,"")</f>
        <v/>
      </c>
      <c r="V4" s="84" t="s">
        <v>18</v>
      </c>
      <c r="W4" s="84">
        <f>MIN(E4:E34)</f>
        <v>4</v>
      </c>
      <c r="X4" s="84">
        <f t="shared" ref="X4:AB4" si="0">MIN(F4:F34)</f>
        <v>3</v>
      </c>
      <c r="Y4" s="84">
        <f t="shared" si="0"/>
        <v>15</v>
      </c>
      <c r="Z4" s="84">
        <f t="shared" si="0"/>
        <v>0.4</v>
      </c>
      <c r="AA4" s="84">
        <f t="shared" si="0"/>
        <v>26</v>
      </c>
      <c r="AB4" s="84">
        <f t="shared" si="0"/>
        <v>2</v>
      </c>
      <c r="AM4" s="32"/>
    </row>
    <row r="5" ht="14.1" customHeight="1" spans="1:39">
      <c r="A5" s="54" t="str">
        <f t="shared" ref="A5:A33" si="1">$A$4</f>
        <v>会同县</v>
      </c>
      <c r="B5" s="55">
        <f>$B$4</f>
        <v>2019</v>
      </c>
      <c r="C5" s="55">
        <f>$C$4</f>
        <v>7</v>
      </c>
      <c r="D5" s="56">
        <v>2</v>
      </c>
      <c r="E5" s="57">
        <v>7</v>
      </c>
      <c r="F5" s="58">
        <v>5</v>
      </c>
      <c r="G5" s="75">
        <v>76</v>
      </c>
      <c r="H5" s="58">
        <v>0.4</v>
      </c>
      <c r="I5" s="58">
        <v>99</v>
      </c>
      <c r="J5" s="75">
        <v>30</v>
      </c>
      <c r="K5" s="72">
        <f t="shared" ref="K5:K34" si="2">IF(E5="","",ROUNDUP(IF((50-E5)&gt;=0,E5,IF((150-E5)&gt;=0,0.5*(E5-50)+50,IF((475-E5)&gt;=0,(50/325)*(E5-150)+100,IF((800-E5)&gt;=0,(50/325)*(E5-475)+150,IF((1600-E5)&gt;=0,(1/8)*(E5-800)+200,IF((2100-E5)&gt;=0,(1/5)*(E5-1600)+300,IF((2620-E5)&gt;=0,(10/52)*(E5-2100)+400,""))))))),0))</f>
        <v>7</v>
      </c>
      <c r="L5" s="73">
        <f t="shared" ref="L5:L34" si="3">IF(F5="","",ROUNDUP(IF((40-F5)&gt;=0,(5/4)*F5,IF((80-F5)&gt;=0,(5/4)*(F5-40)+50,IF((180-F5)&gt;=0,(1/2)*(F5-80)+100,IF((280-F5)&gt;=0,(1/2)*(F5-180)+150,IF((565-F5)&gt;=0,(100/285)*(F5-280)+200,IF((750-F5)&gt;=0,(100/185)*(F5-565)+300,IF((940-F5)&gt;=0,(100/190)*(F5-750)+400,""))))))),0))</f>
        <v>7</v>
      </c>
      <c r="M5" s="73">
        <f t="shared" ref="M5:M34" si="4">IF(G5="","",ROUNDUP(IF((50-G5)&gt;=0,G5,IF((150-G5)&gt;=0,0.5*(G5-50)+50,IF((250-G5)&gt;=0,0.5*(G5-150)+100,IF((350-G5)&gt;=0,0.5*(G5-250)+150,IF((420-G5)&gt;=0,(10/7)*(G5-350)+200,IF((500-G5)&gt;=0,(10/8)*(G5-420)+300,IF((600-G5)&gt;=0,(G5-500)+400,""))))))),0))</f>
        <v>63</v>
      </c>
      <c r="N5" s="73">
        <f t="shared" ref="N5:N34" si="5">IF(H5="","",ROUNDUP(IF((2-H5)&gt;=0,25*H5,IF((4-H5)&gt;=0,25*(H5-2)+50,IF((14-H5)&gt;=0,5*(H5-4)+100,IF((24-H5)&gt;=0,5*(H5-14)+150,IF((36-H5)&gt;=0,(100/12)*(H5-24)+200,IF((48-H5)&gt;=0,(100/12)*(H5-36)+300,IF((60-H5)&gt;=0,(100/12)*(H5-48)+400,""))))))),0))</f>
        <v>10</v>
      </c>
      <c r="O5" s="73">
        <v>20</v>
      </c>
      <c r="P5" s="74">
        <f t="shared" ref="P5:P34" si="6">IF(J5="","",ROUNDUP(IF((35-J5)&gt;=0,(50/35)*J5,IF((75-J5)&gt;=0,(5/4)*(J5-35)+50,IF((115-J5)&gt;=0,(5/4)*(J5-75)+100,IF((150-J5)&gt;=0,(50/35)*(J5-115)+150,IF((250-J5)&gt;=0,(J5-150)+200,IF((350-J5)&gt;=0,(J5-250)+300,IF((500-J5)&gt;=0,(10/15)*(J5-350)+400,""))))))),0))</f>
        <v>43</v>
      </c>
      <c r="Q5" s="85">
        <f t="shared" ref="Q5:Q33" si="7">MAX(K5:P5)</f>
        <v>63</v>
      </c>
      <c r="R5" s="86" t="str">
        <f t="shared" ref="R5:R33" si="8">IF(Q5&gt;100,IF((150-Q5&gt;=0),"轻度污染",IF((200-Q5&gt;=0),"中度污染",IF((300-Q5&gt;=0),"重度污染",IF((Q5&gt;300),"严重污染")))),IF(OR(K5="",L5="",M5="",N5="",O5="",P5=""),"无效",IF((50-Q5&gt;=0),"优",IF((100-Q5&gt;=0),"良"))))</f>
        <v>良</v>
      </c>
      <c r="S5" s="86" t="str">
        <f t="shared" ref="S5:S33" si="9">IF(R5="无效","",INDEX($K$3:$P$3,MATCH(Q5,K5:P5,0)))</f>
        <v>PM10</v>
      </c>
      <c r="T5" s="87" t="str">
        <f t="shared" ref="T5:T34" si="10">IF(Q5&gt;100,S5,"")</f>
        <v/>
      </c>
      <c r="V5" s="84" t="s">
        <v>19</v>
      </c>
      <c r="W5" s="84">
        <f t="shared" ref="W5:AB5" si="11">MAX(E4:E34)</f>
        <v>13</v>
      </c>
      <c r="X5" s="84">
        <f t="shared" si="11"/>
        <v>7</v>
      </c>
      <c r="Y5" s="84">
        <f t="shared" si="11"/>
        <v>76</v>
      </c>
      <c r="Z5" s="84">
        <f t="shared" si="11"/>
        <v>0.9</v>
      </c>
      <c r="AA5" s="84">
        <f t="shared" si="11"/>
        <v>104</v>
      </c>
      <c r="AB5" s="84">
        <f t="shared" si="11"/>
        <v>34</v>
      </c>
      <c r="AM5" s="32"/>
    </row>
    <row r="6" ht="14.1" customHeight="1" spans="1:39">
      <c r="A6" s="54" t="str">
        <f t="shared" si="1"/>
        <v>会同县</v>
      </c>
      <c r="B6" s="55">
        <f t="shared" ref="B6:B33" si="12">$B$4</f>
        <v>2019</v>
      </c>
      <c r="C6" s="55">
        <f t="shared" ref="C6:C33" si="13">$C$4</f>
        <v>7</v>
      </c>
      <c r="D6" s="56">
        <v>3</v>
      </c>
      <c r="E6" s="57">
        <v>6</v>
      </c>
      <c r="F6" s="58">
        <v>7</v>
      </c>
      <c r="G6" s="75">
        <v>74</v>
      </c>
      <c r="H6" s="58">
        <v>0.5</v>
      </c>
      <c r="I6" s="58">
        <v>101</v>
      </c>
      <c r="J6" s="75">
        <v>33</v>
      </c>
      <c r="K6" s="72">
        <f t="shared" si="2"/>
        <v>6</v>
      </c>
      <c r="L6" s="73">
        <f t="shared" si="3"/>
        <v>9</v>
      </c>
      <c r="M6" s="73">
        <f t="shared" si="4"/>
        <v>62</v>
      </c>
      <c r="N6" s="73">
        <f t="shared" si="5"/>
        <v>13</v>
      </c>
      <c r="O6" s="73">
        <v>52</v>
      </c>
      <c r="P6" s="74">
        <f t="shared" si="6"/>
        <v>48</v>
      </c>
      <c r="Q6" s="85">
        <f t="shared" si="7"/>
        <v>62</v>
      </c>
      <c r="R6" s="86" t="str">
        <f t="shared" si="8"/>
        <v>良</v>
      </c>
      <c r="S6" s="86" t="str">
        <f t="shared" si="9"/>
        <v>PM10</v>
      </c>
      <c r="T6" s="87" t="str">
        <f t="shared" si="10"/>
        <v/>
      </c>
      <c r="V6" s="84" t="s">
        <v>20</v>
      </c>
      <c r="W6" s="84">
        <f t="shared" ref="W6:Y6" si="14">ROUND(AVERAGE(E4:E34),0)-(MOD(AVERAGE(E4:E34),2)=0.5)</f>
        <v>7</v>
      </c>
      <c r="X6" s="84">
        <f t="shared" si="14"/>
        <v>5</v>
      </c>
      <c r="Y6" s="84">
        <f t="shared" si="14"/>
        <v>38</v>
      </c>
      <c r="Z6" s="84">
        <f>(ROUND(AVERAGE(H4:H34)*10,0)-(MOD(AVERAGE(H4:H34)*10,2)=0.5))/10</f>
        <v>0.6</v>
      </c>
      <c r="AA6" s="84">
        <f>ROUND(AVERAGE(I4:I34),0)-(MOD(AVERAGE(I4:I34),2)=0.5)</f>
        <v>62</v>
      </c>
      <c r="AB6" s="84">
        <f>ROUND(AVERAGE(J4:J34),0)-(MOD(AVERAGE(J4:J34),2)=0.5)</f>
        <v>18</v>
      </c>
      <c r="AE6" s="32"/>
      <c r="AF6" s="92"/>
      <c r="AG6" s="32"/>
      <c r="AH6" s="32"/>
      <c r="AI6" s="32"/>
      <c r="AJ6" s="32"/>
      <c r="AK6" s="32"/>
      <c r="AL6" s="32"/>
      <c r="AM6" s="32"/>
    </row>
    <row r="7" ht="14.1" customHeight="1" spans="1:39">
      <c r="A7" s="54" t="str">
        <f t="shared" si="1"/>
        <v>会同县</v>
      </c>
      <c r="B7" s="55">
        <f t="shared" si="12"/>
        <v>2019</v>
      </c>
      <c r="C7" s="55">
        <f t="shared" si="13"/>
        <v>7</v>
      </c>
      <c r="D7" s="56">
        <v>4</v>
      </c>
      <c r="E7" s="57">
        <v>5</v>
      </c>
      <c r="F7" s="58">
        <v>4</v>
      </c>
      <c r="G7" s="75">
        <v>59</v>
      </c>
      <c r="H7" s="93">
        <v>0.8</v>
      </c>
      <c r="I7" s="58">
        <v>60</v>
      </c>
      <c r="J7" s="75">
        <v>34</v>
      </c>
      <c r="K7" s="72">
        <f t="shared" si="2"/>
        <v>5</v>
      </c>
      <c r="L7" s="73">
        <f t="shared" si="3"/>
        <v>5</v>
      </c>
      <c r="M7" s="73">
        <f t="shared" si="4"/>
        <v>55</v>
      </c>
      <c r="N7" s="73">
        <f t="shared" si="5"/>
        <v>20</v>
      </c>
      <c r="O7" s="73">
        <v>25</v>
      </c>
      <c r="P7" s="74">
        <f t="shared" si="6"/>
        <v>49</v>
      </c>
      <c r="Q7" s="85">
        <f t="shared" si="7"/>
        <v>55</v>
      </c>
      <c r="R7" s="86" t="str">
        <f t="shared" si="8"/>
        <v>良</v>
      </c>
      <c r="S7" s="86" t="str">
        <f t="shared" si="9"/>
        <v>PM10</v>
      </c>
      <c r="T7" s="87" t="str">
        <f t="shared" si="10"/>
        <v/>
      </c>
      <c r="V7" s="84" t="s">
        <v>21</v>
      </c>
      <c r="W7" s="84">
        <f>COUNT(E4:E34)</f>
        <v>31</v>
      </c>
      <c r="X7" s="84">
        <f t="shared" ref="X7:AB7" si="15">COUNT(F4:F34)</f>
        <v>31</v>
      </c>
      <c r="Y7" s="84">
        <f t="shared" si="15"/>
        <v>31</v>
      </c>
      <c r="Z7" s="84">
        <f t="shared" si="15"/>
        <v>31</v>
      </c>
      <c r="AA7" s="84">
        <f t="shared" si="15"/>
        <v>31</v>
      </c>
      <c r="AB7" s="84">
        <f t="shared" si="15"/>
        <v>31</v>
      </c>
      <c r="AE7" s="32"/>
      <c r="AF7" s="32"/>
      <c r="AG7" s="32"/>
      <c r="AH7" s="32"/>
      <c r="AI7" s="32"/>
      <c r="AJ7" s="32"/>
      <c r="AK7" s="32"/>
      <c r="AL7" s="32"/>
      <c r="AM7" s="32"/>
    </row>
    <row r="8" ht="14.1" customHeight="1" spans="1:39">
      <c r="A8" s="54" t="str">
        <f t="shared" si="1"/>
        <v>会同县</v>
      </c>
      <c r="B8" s="55">
        <f t="shared" si="12"/>
        <v>2019</v>
      </c>
      <c r="C8" s="55">
        <f t="shared" si="13"/>
        <v>7</v>
      </c>
      <c r="D8" s="56">
        <v>5</v>
      </c>
      <c r="E8" s="57">
        <v>10</v>
      </c>
      <c r="F8" s="58">
        <v>4</v>
      </c>
      <c r="G8" s="75">
        <v>43</v>
      </c>
      <c r="H8" s="93">
        <v>0.6</v>
      </c>
      <c r="I8" s="58">
        <v>33</v>
      </c>
      <c r="J8" s="75">
        <v>18</v>
      </c>
      <c r="K8" s="72">
        <f t="shared" si="2"/>
        <v>10</v>
      </c>
      <c r="L8" s="73">
        <f t="shared" si="3"/>
        <v>5</v>
      </c>
      <c r="M8" s="73">
        <f t="shared" si="4"/>
        <v>43</v>
      </c>
      <c r="N8" s="73">
        <f t="shared" si="5"/>
        <v>15</v>
      </c>
      <c r="O8" s="73">
        <f t="shared" ref="O5:O34" si="16">IF(I8="","",ROUNDUP(IF((100-I8)&gt;=0,0.5*I8,IF((160-I8)&gt;=0,(5/6)*(I8-100)+50,IF((215-I8)&gt;=0,(50/55)*(I8-160)+100,IF((265-I8)&gt;=0,(I8-215)+150,IF((800-I8)&gt;=0,(100/535)*(I8-265)+200,""))))),0))</f>
        <v>17</v>
      </c>
      <c r="P8" s="74">
        <f t="shared" si="6"/>
        <v>26</v>
      </c>
      <c r="Q8" s="85">
        <f t="shared" si="7"/>
        <v>43</v>
      </c>
      <c r="R8" s="86" t="str">
        <f t="shared" si="8"/>
        <v>优</v>
      </c>
      <c r="S8" s="86" t="str">
        <f t="shared" si="9"/>
        <v>PM10</v>
      </c>
      <c r="T8" s="87" t="str">
        <f t="shared" si="10"/>
        <v/>
      </c>
      <c r="V8" s="84" t="s">
        <v>22</v>
      </c>
      <c r="W8" s="84">
        <f>COUNTIF(E4:E34,"&gt;150")</f>
        <v>0</v>
      </c>
      <c r="X8" s="84">
        <f>COUNTIF(F4:F34,"&gt;80")</f>
        <v>0</v>
      </c>
      <c r="Y8" s="84">
        <f>COUNTIF(G4:G34,"&gt;150")</f>
        <v>0</v>
      </c>
      <c r="Z8" s="84">
        <f>COUNTIF(H4:H34,"&gt;4")</f>
        <v>0</v>
      </c>
      <c r="AA8" s="84">
        <f>COUNTIF(I4:I34,"&gt;160")</f>
        <v>0</v>
      </c>
      <c r="AB8" s="84">
        <f>COUNTIF(J4:J34,"&gt;75")</f>
        <v>0</v>
      </c>
      <c r="AE8" s="32"/>
      <c r="AF8" s="32"/>
      <c r="AG8" s="32"/>
      <c r="AH8" s="32"/>
      <c r="AI8" s="32"/>
      <c r="AJ8" s="32"/>
      <c r="AK8" s="32"/>
      <c r="AL8" s="32"/>
      <c r="AM8" s="32"/>
    </row>
    <row r="9" ht="14.1" customHeight="1" spans="1:39">
      <c r="A9" s="54" t="str">
        <f t="shared" si="1"/>
        <v>会同县</v>
      </c>
      <c r="B9" s="55">
        <f t="shared" si="12"/>
        <v>2019</v>
      </c>
      <c r="C9" s="55">
        <f t="shared" si="13"/>
        <v>7</v>
      </c>
      <c r="D9" s="56">
        <v>6</v>
      </c>
      <c r="E9" s="57">
        <v>10</v>
      </c>
      <c r="F9" s="58">
        <v>5</v>
      </c>
      <c r="G9" s="75">
        <v>32</v>
      </c>
      <c r="H9" s="93">
        <v>0.4</v>
      </c>
      <c r="I9" s="58">
        <v>31</v>
      </c>
      <c r="J9" s="75">
        <v>15</v>
      </c>
      <c r="K9" s="72">
        <f t="shared" si="2"/>
        <v>10</v>
      </c>
      <c r="L9" s="73">
        <f t="shared" si="3"/>
        <v>7</v>
      </c>
      <c r="M9" s="73">
        <f t="shared" si="4"/>
        <v>32</v>
      </c>
      <c r="N9" s="73">
        <f t="shared" si="5"/>
        <v>10</v>
      </c>
      <c r="O9" s="73">
        <f t="shared" si="16"/>
        <v>16</v>
      </c>
      <c r="P9" s="74">
        <f t="shared" si="6"/>
        <v>22</v>
      </c>
      <c r="Q9" s="85">
        <f t="shared" si="7"/>
        <v>32</v>
      </c>
      <c r="R9" s="86" t="str">
        <f t="shared" si="8"/>
        <v>优</v>
      </c>
      <c r="S9" s="86" t="str">
        <f t="shared" si="9"/>
        <v>PM10</v>
      </c>
      <c r="T9" s="87" t="str">
        <f t="shared" si="10"/>
        <v/>
      </c>
      <c r="V9" s="84" t="s">
        <v>23</v>
      </c>
      <c r="W9" s="88">
        <f>W8/W7</f>
        <v>0</v>
      </c>
      <c r="X9" s="88">
        <f t="shared" ref="X9:AB9" si="17">X8/X7</f>
        <v>0</v>
      </c>
      <c r="Y9" s="88">
        <f t="shared" si="17"/>
        <v>0</v>
      </c>
      <c r="Z9" s="88">
        <f t="shared" si="17"/>
        <v>0</v>
      </c>
      <c r="AA9" s="88">
        <f t="shared" si="17"/>
        <v>0</v>
      </c>
      <c r="AB9" s="88">
        <f t="shared" si="17"/>
        <v>0</v>
      </c>
      <c r="AE9" s="32"/>
      <c r="AF9" s="32"/>
      <c r="AG9" s="32"/>
      <c r="AH9" s="32"/>
      <c r="AI9" s="32"/>
      <c r="AJ9" s="32"/>
      <c r="AK9" s="32"/>
      <c r="AL9" s="32"/>
      <c r="AM9" s="32"/>
    </row>
    <row r="10" ht="14.1" customHeight="1" spans="1:28">
      <c r="A10" s="54" t="str">
        <f t="shared" si="1"/>
        <v>会同县</v>
      </c>
      <c r="B10" s="55">
        <f t="shared" si="12"/>
        <v>2019</v>
      </c>
      <c r="C10" s="55">
        <f t="shared" si="13"/>
        <v>7</v>
      </c>
      <c r="D10" s="51">
        <v>7</v>
      </c>
      <c r="E10" s="57">
        <v>4</v>
      </c>
      <c r="F10" s="58">
        <v>5</v>
      </c>
      <c r="G10" s="75">
        <v>24</v>
      </c>
      <c r="H10" s="93">
        <v>0.4</v>
      </c>
      <c r="I10" s="58">
        <v>46</v>
      </c>
      <c r="J10" s="75">
        <v>7</v>
      </c>
      <c r="K10" s="72">
        <f t="shared" si="2"/>
        <v>4</v>
      </c>
      <c r="L10" s="73">
        <f t="shared" si="3"/>
        <v>7</v>
      </c>
      <c r="M10" s="73">
        <f t="shared" si="4"/>
        <v>24</v>
      </c>
      <c r="N10" s="73">
        <f t="shared" si="5"/>
        <v>10</v>
      </c>
      <c r="O10" s="73">
        <f t="shared" si="16"/>
        <v>23</v>
      </c>
      <c r="P10" s="74">
        <f t="shared" si="6"/>
        <v>10</v>
      </c>
      <c r="Q10" s="85">
        <f t="shared" si="7"/>
        <v>24</v>
      </c>
      <c r="R10" s="86" t="str">
        <f t="shared" si="8"/>
        <v>优</v>
      </c>
      <c r="S10" s="86" t="str">
        <f t="shared" si="9"/>
        <v>PM10</v>
      </c>
      <c r="T10" s="87" t="str">
        <f t="shared" si="10"/>
        <v/>
      </c>
      <c r="V10" s="84"/>
      <c r="W10" s="84"/>
      <c r="X10" s="84"/>
      <c r="Y10" s="84"/>
      <c r="Z10" s="84"/>
      <c r="AA10" s="84"/>
      <c r="AB10" s="84"/>
    </row>
    <row r="11" ht="14.1" customHeight="1" spans="1:28">
      <c r="A11" s="54" t="str">
        <f t="shared" si="1"/>
        <v>会同县</v>
      </c>
      <c r="B11" s="55">
        <f t="shared" si="12"/>
        <v>2019</v>
      </c>
      <c r="C11" s="55">
        <f t="shared" si="13"/>
        <v>7</v>
      </c>
      <c r="D11" s="56">
        <v>8</v>
      </c>
      <c r="E11" s="57">
        <v>4</v>
      </c>
      <c r="F11" s="58">
        <v>4</v>
      </c>
      <c r="G11" s="75">
        <v>15</v>
      </c>
      <c r="H11" s="93">
        <v>0.4</v>
      </c>
      <c r="I11" s="58">
        <v>48</v>
      </c>
      <c r="J11" s="75">
        <v>2</v>
      </c>
      <c r="K11" s="72">
        <f t="shared" si="2"/>
        <v>4</v>
      </c>
      <c r="L11" s="73">
        <f t="shared" si="3"/>
        <v>5</v>
      </c>
      <c r="M11" s="73">
        <f t="shared" si="4"/>
        <v>15</v>
      </c>
      <c r="N11" s="73">
        <f t="shared" si="5"/>
        <v>10</v>
      </c>
      <c r="O11" s="73">
        <f t="shared" si="16"/>
        <v>24</v>
      </c>
      <c r="P11" s="74">
        <f t="shared" si="6"/>
        <v>3</v>
      </c>
      <c r="Q11" s="85">
        <f t="shared" si="7"/>
        <v>24</v>
      </c>
      <c r="R11" s="86" t="str">
        <f t="shared" si="8"/>
        <v>优</v>
      </c>
      <c r="S11" s="86" t="str">
        <f t="shared" si="9"/>
        <v>O3-8h</v>
      </c>
      <c r="T11" s="87" t="str">
        <f t="shared" si="10"/>
        <v/>
      </c>
      <c r="V11" s="84" t="s">
        <v>24</v>
      </c>
      <c r="W11" s="84" t="s">
        <v>25</v>
      </c>
      <c r="X11" s="84" t="s">
        <v>26</v>
      </c>
      <c r="Y11" s="84" t="s">
        <v>27</v>
      </c>
      <c r="Z11" s="84" t="s">
        <v>28</v>
      </c>
      <c r="AA11" s="84" t="s">
        <v>29</v>
      </c>
      <c r="AB11" s="84" t="s">
        <v>30</v>
      </c>
    </row>
    <row r="12" ht="14.1" customHeight="1" spans="1:28">
      <c r="A12" s="54" t="str">
        <f t="shared" si="1"/>
        <v>会同县</v>
      </c>
      <c r="B12" s="55">
        <f t="shared" si="12"/>
        <v>2019</v>
      </c>
      <c r="C12" s="55">
        <f t="shared" si="13"/>
        <v>7</v>
      </c>
      <c r="D12" s="56">
        <v>9</v>
      </c>
      <c r="E12" s="57">
        <v>4</v>
      </c>
      <c r="F12" s="58">
        <v>4</v>
      </c>
      <c r="G12" s="75">
        <v>27</v>
      </c>
      <c r="H12" s="58">
        <v>0.5</v>
      </c>
      <c r="I12" s="58">
        <v>104</v>
      </c>
      <c r="J12" s="75">
        <v>12</v>
      </c>
      <c r="K12" s="72">
        <f t="shared" si="2"/>
        <v>4</v>
      </c>
      <c r="L12" s="73">
        <f t="shared" si="3"/>
        <v>5</v>
      </c>
      <c r="M12" s="73">
        <f t="shared" si="4"/>
        <v>27</v>
      </c>
      <c r="N12" s="73">
        <f t="shared" si="5"/>
        <v>13</v>
      </c>
      <c r="O12" s="73">
        <f t="shared" si="16"/>
        <v>54</v>
      </c>
      <c r="P12" s="74">
        <f t="shared" si="6"/>
        <v>18</v>
      </c>
      <c r="Q12" s="85">
        <f t="shared" si="7"/>
        <v>54</v>
      </c>
      <c r="R12" s="86" t="str">
        <f t="shared" si="8"/>
        <v>良</v>
      </c>
      <c r="S12" s="86" t="str">
        <f t="shared" si="9"/>
        <v>O3-8h</v>
      </c>
      <c r="T12" s="87" t="str">
        <f t="shared" si="10"/>
        <v/>
      </c>
      <c r="V12" s="84">
        <f>COUNT(Q4:Q34)</f>
        <v>31</v>
      </c>
      <c r="W12" s="84">
        <f>COUNTIF(R4:R34,"优")</f>
        <v>26</v>
      </c>
      <c r="X12" s="84">
        <f>COUNTIF(R4:R34,"良")</f>
        <v>5</v>
      </c>
      <c r="Y12" s="84">
        <f>COUNTIF(R4:R34,"轻度污染")</f>
        <v>0</v>
      </c>
      <c r="Z12" s="84">
        <f>COUNTIF(R4:R34,"中度污染")</f>
        <v>0</v>
      </c>
      <c r="AA12" s="84">
        <f>COUNTIF(R4:R34,"重度污染")</f>
        <v>0</v>
      </c>
      <c r="AB12" s="84">
        <f>COUNTIF(R4:R34,"严重污染")</f>
        <v>0</v>
      </c>
    </row>
    <row r="13" ht="14.1" customHeight="1" spans="1:28">
      <c r="A13" s="54" t="str">
        <f t="shared" si="1"/>
        <v>会同县</v>
      </c>
      <c r="B13" s="55">
        <f t="shared" si="12"/>
        <v>2019</v>
      </c>
      <c r="C13" s="55">
        <f t="shared" si="13"/>
        <v>7</v>
      </c>
      <c r="D13" s="56">
        <v>10</v>
      </c>
      <c r="E13" s="57">
        <v>8</v>
      </c>
      <c r="F13" s="58">
        <v>5</v>
      </c>
      <c r="G13" s="75">
        <v>52</v>
      </c>
      <c r="H13" s="58">
        <v>0.6</v>
      </c>
      <c r="I13" s="76">
        <v>80</v>
      </c>
      <c r="J13" s="75">
        <v>23</v>
      </c>
      <c r="K13" s="72">
        <f t="shared" si="2"/>
        <v>8</v>
      </c>
      <c r="L13" s="73">
        <f t="shared" si="3"/>
        <v>7</v>
      </c>
      <c r="M13" s="73">
        <f t="shared" si="4"/>
        <v>51</v>
      </c>
      <c r="N13" s="73">
        <f t="shared" si="5"/>
        <v>15</v>
      </c>
      <c r="O13" s="73">
        <f t="shared" si="16"/>
        <v>40</v>
      </c>
      <c r="P13" s="74">
        <f t="shared" si="6"/>
        <v>33</v>
      </c>
      <c r="Q13" s="85">
        <f t="shared" si="7"/>
        <v>51</v>
      </c>
      <c r="R13" s="86" t="str">
        <f t="shared" si="8"/>
        <v>良</v>
      </c>
      <c r="S13" s="86" t="str">
        <f t="shared" si="9"/>
        <v>PM10</v>
      </c>
      <c r="T13" s="87" t="str">
        <f t="shared" si="10"/>
        <v/>
      </c>
      <c r="V13" s="84"/>
      <c r="W13" s="84"/>
      <c r="X13" s="84"/>
      <c r="Y13" s="84"/>
      <c r="Z13" s="84"/>
      <c r="AA13" s="84"/>
      <c r="AB13" s="84"/>
    </row>
    <row r="14" ht="14.1" customHeight="1" spans="1:28">
      <c r="A14" s="54" t="str">
        <f t="shared" si="1"/>
        <v>会同县</v>
      </c>
      <c r="B14" s="55">
        <f t="shared" si="12"/>
        <v>2019</v>
      </c>
      <c r="C14" s="55">
        <f t="shared" si="13"/>
        <v>7</v>
      </c>
      <c r="D14" s="56">
        <v>11</v>
      </c>
      <c r="E14" s="57">
        <v>6</v>
      </c>
      <c r="F14" s="58">
        <v>5</v>
      </c>
      <c r="G14" s="75">
        <v>48</v>
      </c>
      <c r="H14" s="93">
        <v>0.6</v>
      </c>
      <c r="I14" s="76">
        <v>40</v>
      </c>
      <c r="J14" s="75">
        <v>25</v>
      </c>
      <c r="K14" s="72">
        <f t="shared" si="2"/>
        <v>6</v>
      </c>
      <c r="L14" s="73">
        <f t="shared" si="3"/>
        <v>7</v>
      </c>
      <c r="M14" s="73">
        <f t="shared" si="4"/>
        <v>48</v>
      </c>
      <c r="N14" s="73">
        <f t="shared" si="5"/>
        <v>15</v>
      </c>
      <c r="O14" s="73">
        <f t="shared" si="16"/>
        <v>20</v>
      </c>
      <c r="P14" s="74">
        <f t="shared" si="6"/>
        <v>36</v>
      </c>
      <c r="Q14" s="85">
        <f t="shared" si="7"/>
        <v>48</v>
      </c>
      <c r="R14" s="86" t="str">
        <f t="shared" si="8"/>
        <v>优</v>
      </c>
      <c r="S14" s="86" t="str">
        <f t="shared" si="9"/>
        <v>PM10</v>
      </c>
      <c r="T14" s="87" t="str">
        <f t="shared" si="10"/>
        <v/>
      </c>
      <c r="V14" s="84" t="s">
        <v>31</v>
      </c>
      <c r="W14" s="84" t="s">
        <v>32</v>
      </c>
      <c r="X14" s="84" t="s">
        <v>33</v>
      </c>
      <c r="Y14" s="84" t="s">
        <v>34</v>
      </c>
      <c r="Z14" s="84"/>
      <c r="AA14" s="84"/>
      <c r="AB14" s="84"/>
    </row>
    <row r="15" ht="14.1" customHeight="1" spans="1:28">
      <c r="A15" s="54" t="str">
        <f t="shared" si="1"/>
        <v>会同县</v>
      </c>
      <c r="B15" s="55">
        <f t="shared" si="12"/>
        <v>2019</v>
      </c>
      <c r="C15" s="55">
        <f t="shared" si="13"/>
        <v>7</v>
      </c>
      <c r="D15" s="56">
        <v>12</v>
      </c>
      <c r="E15" s="57">
        <v>5</v>
      </c>
      <c r="F15" s="58">
        <v>6</v>
      </c>
      <c r="G15" s="75">
        <v>33</v>
      </c>
      <c r="H15" s="58">
        <v>0.7</v>
      </c>
      <c r="I15" s="58">
        <v>30</v>
      </c>
      <c r="J15" s="75">
        <v>15</v>
      </c>
      <c r="K15" s="72">
        <f t="shared" si="2"/>
        <v>5</v>
      </c>
      <c r="L15" s="73">
        <f t="shared" si="3"/>
        <v>8</v>
      </c>
      <c r="M15" s="73">
        <f t="shared" si="4"/>
        <v>33</v>
      </c>
      <c r="N15" s="73">
        <f t="shared" si="5"/>
        <v>18</v>
      </c>
      <c r="O15" s="73">
        <f t="shared" si="16"/>
        <v>15</v>
      </c>
      <c r="P15" s="74">
        <f t="shared" si="6"/>
        <v>22</v>
      </c>
      <c r="Q15" s="85">
        <f t="shared" si="7"/>
        <v>33</v>
      </c>
      <c r="R15" s="86" t="str">
        <f t="shared" si="8"/>
        <v>优</v>
      </c>
      <c r="S15" s="86" t="str">
        <f t="shared" si="9"/>
        <v>PM10</v>
      </c>
      <c r="T15" s="87" t="str">
        <f t="shared" si="10"/>
        <v/>
      </c>
      <c r="V15" s="84">
        <f>SUM(W12:AB12)</f>
        <v>31</v>
      </c>
      <c r="W15" s="84">
        <f>COUNTIF(R4:R34,"无效")</f>
        <v>0</v>
      </c>
      <c r="X15" s="88">
        <v>1</v>
      </c>
      <c r="Y15" s="84" t="str">
        <f>IF(AND(C4=2,SUM(W12:AB12)&gt;=25),"是",IF(SUM(W12:AB12)&gt;=27,"是","否"))</f>
        <v>是</v>
      </c>
      <c r="Z15" s="84"/>
      <c r="AA15" s="84"/>
      <c r="AB15" s="84"/>
    </row>
    <row r="16" ht="14.1" customHeight="1" spans="1:20">
      <c r="A16" s="54" t="str">
        <f t="shared" si="1"/>
        <v>会同县</v>
      </c>
      <c r="B16" s="55">
        <f t="shared" si="12"/>
        <v>2019</v>
      </c>
      <c r="C16" s="55">
        <f t="shared" si="13"/>
        <v>7</v>
      </c>
      <c r="D16" s="51">
        <v>13</v>
      </c>
      <c r="E16" s="57">
        <v>4</v>
      </c>
      <c r="F16" s="58">
        <v>3</v>
      </c>
      <c r="G16" s="75">
        <v>16</v>
      </c>
      <c r="H16" s="58">
        <v>0.6</v>
      </c>
      <c r="I16" s="58">
        <v>53</v>
      </c>
      <c r="J16" s="75">
        <v>4</v>
      </c>
      <c r="K16" s="72">
        <f t="shared" si="2"/>
        <v>4</v>
      </c>
      <c r="L16" s="73">
        <f t="shared" si="3"/>
        <v>4</v>
      </c>
      <c r="M16" s="73">
        <f t="shared" si="4"/>
        <v>16</v>
      </c>
      <c r="N16" s="73">
        <f t="shared" si="5"/>
        <v>15</v>
      </c>
      <c r="O16" s="73">
        <f t="shared" si="16"/>
        <v>27</v>
      </c>
      <c r="P16" s="74">
        <f t="shared" si="6"/>
        <v>6</v>
      </c>
      <c r="Q16" s="85">
        <f t="shared" si="7"/>
        <v>27</v>
      </c>
      <c r="R16" s="86" t="str">
        <f t="shared" si="8"/>
        <v>优</v>
      </c>
      <c r="S16" s="86" t="str">
        <f t="shared" si="9"/>
        <v>O3-8h</v>
      </c>
      <c r="T16" s="87" t="str">
        <f t="shared" si="10"/>
        <v/>
      </c>
    </row>
    <row r="17" ht="14.1" customHeight="1" spans="1:20">
      <c r="A17" s="54" t="str">
        <f t="shared" si="1"/>
        <v>会同县</v>
      </c>
      <c r="B17" s="55">
        <f t="shared" si="12"/>
        <v>2019</v>
      </c>
      <c r="C17" s="55">
        <f t="shared" si="13"/>
        <v>7</v>
      </c>
      <c r="D17" s="56">
        <v>14</v>
      </c>
      <c r="E17" s="57">
        <v>6</v>
      </c>
      <c r="F17" s="58">
        <v>6</v>
      </c>
      <c r="G17" s="75">
        <v>32</v>
      </c>
      <c r="H17" s="58">
        <v>0.6</v>
      </c>
      <c r="I17" s="1">
        <v>53</v>
      </c>
      <c r="J17" s="75">
        <v>12</v>
      </c>
      <c r="K17" s="72">
        <f t="shared" si="2"/>
        <v>6</v>
      </c>
      <c r="L17" s="73">
        <f t="shared" si="3"/>
        <v>8</v>
      </c>
      <c r="M17" s="73">
        <f t="shared" si="4"/>
        <v>32</v>
      </c>
      <c r="N17" s="73">
        <f t="shared" si="5"/>
        <v>15</v>
      </c>
      <c r="O17" s="73">
        <f t="shared" si="16"/>
        <v>27</v>
      </c>
      <c r="P17" s="74">
        <f t="shared" si="6"/>
        <v>18</v>
      </c>
      <c r="Q17" s="85">
        <f t="shared" si="7"/>
        <v>32</v>
      </c>
      <c r="R17" s="86" t="str">
        <f t="shared" si="8"/>
        <v>优</v>
      </c>
      <c r="S17" s="86" t="str">
        <f t="shared" si="9"/>
        <v>PM10</v>
      </c>
      <c r="T17" s="87" t="str">
        <f t="shared" si="10"/>
        <v/>
      </c>
    </row>
    <row r="18" ht="14.1" customHeight="1" spans="1:20">
      <c r="A18" s="54" t="str">
        <f t="shared" si="1"/>
        <v>会同县</v>
      </c>
      <c r="B18" s="55">
        <f t="shared" si="12"/>
        <v>2019</v>
      </c>
      <c r="C18" s="55">
        <f t="shared" si="13"/>
        <v>7</v>
      </c>
      <c r="D18" s="56">
        <v>15</v>
      </c>
      <c r="E18" s="57">
        <v>5</v>
      </c>
      <c r="F18" s="58">
        <v>5</v>
      </c>
      <c r="G18" s="75">
        <v>25</v>
      </c>
      <c r="H18" s="58">
        <v>0.6</v>
      </c>
      <c r="I18" s="58">
        <v>26</v>
      </c>
      <c r="J18" s="75">
        <v>11</v>
      </c>
      <c r="K18" s="72">
        <f t="shared" si="2"/>
        <v>5</v>
      </c>
      <c r="L18" s="73">
        <f t="shared" si="3"/>
        <v>7</v>
      </c>
      <c r="M18" s="73">
        <f t="shared" si="4"/>
        <v>25</v>
      </c>
      <c r="N18" s="73">
        <f t="shared" si="5"/>
        <v>15</v>
      </c>
      <c r="O18" s="73">
        <f t="shared" si="16"/>
        <v>13</v>
      </c>
      <c r="P18" s="74">
        <f t="shared" si="6"/>
        <v>16</v>
      </c>
      <c r="Q18" s="85">
        <f t="shared" si="7"/>
        <v>25</v>
      </c>
      <c r="R18" s="86" t="str">
        <f t="shared" si="8"/>
        <v>优</v>
      </c>
      <c r="S18" s="86" t="str">
        <f t="shared" si="9"/>
        <v>PM10</v>
      </c>
      <c r="T18" s="87" t="str">
        <f t="shared" si="10"/>
        <v/>
      </c>
    </row>
    <row r="19" ht="14.1" customHeight="1" spans="1:20">
      <c r="A19" s="54" t="str">
        <f t="shared" si="1"/>
        <v>会同县</v>
      </c>
      <c r="B19" s="55">
        <f t="shared" si="12"/>
        <v>2019</v>
      </c>
      <c r="C19" s="55">
        <f t="shared" si="13"/>
        <v>7</v>
      </c>
      <c r="D19" s="56">
        <v>16</v>
      </c>
      <c r="E19" s="57">
        <v>6</v>
      </c>
      <c r="F19" s="58">
        <v>6</v>
      </c>
      <c r="G19" s="94">
        <v>31</v>
      </c>
      <c r="H19" s="58">
        <v>0.6</v>
      </c>
      <c r="I19" s="58">
        <v>55</v>
      </c>
      <c r="J19" s="94">
        <v>15</v>
      </c>
      <c r="K19" s="72">
        <f t="shared" si="2"/>
        <v>6</v>
      </c>
      <c r="L19" s="73">
        <f t="shared" si="3"/>
        <v>8</v>
      </c>
      <c r="M19" s="73">
        <f t="shared" si="4"/>
        <v>31</v>
      </c>
      <c r="N19" s="73">
        <f t="shared" si="5"/>
        <v>15</v>
      </c>
      <c r="O19" s="73">
        <f t="shared" si="16"/>
        <v>28</v>
      </c>
      <c r="P19" s="74">
        <f t="shared" si="6"/>
        <v>22</v>
      </c>
      <c r="Q19" s="85">
        <f t="shared" si="7"/>
        <v>31</v>
      </c>
      <c r="R19" s="86" t="str">
        <f t="shared" si="8"/>
        <v>优</v>
      </c>
      <c r="S19" s="86" t="str">
        <f t="shared" si="9"/>
        <v>PM10</v>
      </c>
      <c r="T19" s="87" t="str">
        <f t="shared" si="10"/>
        <v/>
      </c>
    </row>
    <row r="20" ht="14.1" customHeight="1" spans="1:20">
      <c r="A20" s="54" t="str">
        <f t="shared" si="1"/>
        <v>会同县</v>
      </c>
      <c r="B20" s="55">
        <f t="shared" si="12"/>
        <v>2019</v>
      </c>
      <c r="C20" s="55">
        <f t="shared" si="13"/>
        <v>7</v>
      </c>
      <c r="D20" s="56">
        <v>17</v>
      </c>
      <c r="E20" s="57">
        <v>7</v>
      </c>
      <c r="F20" s="58">
        <v>6</v>
      </c>
      <c r="G20" s="75">
        <v>45</v>
      </c>
      <c r="H20" s="93">
        <v>0.6</v>
      </c>
      <c r="I20" s="58">
        <v>60</v>
      </c>
      <c r="J20" s="75">
        <v>22</v>
      </c>
      <c r="K20" s="72">
        <f t="shared" si="2"/>
        <v>7</v>
      </c>
      <c r="L20" s="73">
        <f t="shared" si="3"/>
        <v>8</v>
      </c>
      <c r="M20" s="73">
        <f t="shared" si="4"/>
        <v>45</v>
      </c>
      <c r="N20" s="73">
        <f t="shared" si="5"/>
        <v>15</v>
      </c>
      <c r="O20" s="73">
        <f t="shared" si="16"/>
        <v>30</v>
      </c>
      <c r="P20" s="74">
        <f t="shared" si="6"/>
        <v>32</v>
      </c>
      <c r="Q20" s="85">
        <f t="shared" si="7"/>
        <v>45</v>
      </c>
      <c r="R20" s="86" t="str">
        <f t="shared" si="8"/>
        <v>优</v>
      </c>
      <c r="S20" s="86" t="str">
        <f t="shared" si="9"/>
        <v>PM10</v>
      </c>
      <c r="T20" s="87" t="str">
        <f t="shared" si="10"/>
        <v/>
      </c>
    </row>
    <row r="21" ht="14.1" customHeight="1" spans="1:20">
      <c r="A21" s="54" t="str">
        <f t="shared" si="1"/>
        <v>会同县</v>
      </c>
      <c r="B21" s="55">
        <f t="shared" si="12"/>
        <v>2019</v>
      </c>
      <c r="C21" s="55">
        <f t="shared" si="13"/>
        <v>7</v>
      </c>
      <c r="D21" s="56">
        <v>18</v>
      </c>
      <c r="E21" s="57">
        <v>9</v>
      </c>
      <c r="F21" s="58">
        <v>5</v>
      </c>
      <c r="G21" s="75">
        <v>37</v>
      </c>
      <c r="H21" s="93">
        <v>0.5</v>
      </c>
      <c r="I21" s="58">
        <v>68</v>
      </c>
      <c r="J21" s="75">
        <v>20</v>
      </c>
      <c r="K21" s="72">
        <f t="shared" si="2"/>
        <v>9</v>
      </c>
      <c r="L21" s="73">
        <f t="shared" si="3"/>
        <v>7</v>
      </c>
      <c r="M21" s="73">
        <f t="shared" si="4"/>
        <v>37</v>
      </c>
      <c r="N21" s="73">
        <f t="shared" si="5"/>
        <v>13</v>
      </c>
      <c r="O21" s="73">
        <f t="shared" si="16"/>
        <v>34</v>
      </c>
      <c r="P21" s="74">
        <f t="shared" si="6"/>
        <v>29</v>
      </c>
      <c r="Q21" s="85">
        <f t="shared" si="7"/>
        <v>37</v>
      </c>
      <c r="R21" s="86" t="str">
        <f t="shared" si="8"/>
        <v>优</v>
      </c>
      <c r="S21" s="86" t="str">
        <f t="shared" si="9"/>
        <v>PM10</v>
      </c>
      <c r="T21" s="87" t="str">
        <f t="shared" si="10"/>
        <v/>
      </c>
    </row>
    <row r="22" ht="14.1" customHeight="1" spans="1:20">
      <c r="A22" s="54" t="str">
        <f t="shared" si="1"/>
        <v>会同县</v>
      </c>
      <c r="B22" s="55">
        <f t="shared" si="12"/>
        <v>2019</v>
      </c>
      <c r="C22" s="55">
        <f t="shared" si="13"/>
        <v>7</v>
      </c>
      <c r="D22" s="51">
        <v>19</v>
      </c>
      <c r="E22" s="57">
        <v>7</v>
      </c>
      <c r="F22" s="58">
        <v>5</v>
      </c>
      <c r="G22" s="75">
        <v>37</v>
      </c>
      <c r="H22" s="93">
        <v>0.6</v>
      </c>
      <c r="I22" s="58">
        <v>62</v>
      </c>
      <c r="J22" s="75">
        <v>20</v>
      </c>
      <c r="K22" s="72">
        <f t="shared" si="2"/>
        <v>7</v>
      </c>
      <c r="L22" s="73">
        <f t="shared" si="3"/>
        <v>7</v>
      </c>
      <c r="M22" s="73">
        <f t="shared" si="4"/>
        <v>37</v>
      </c>
      <c r="N22" s="73">
        <f t="shared" si="5"/>
        <v>15</v>
      </c>
      <c r="O22" s="73">
        <f t="shared" si="16"/>
        <v>31</v>
      </c>
      <c r="P22" s="74">
        <f t="shared" si="6"/>
        <v>29</v>
      </c>
      <c r="Q22" s="85">
        <f t="shared" si="7"/>
        <v>37</v>
      </c>
      <c r="R22" s="86" t="str">
        <f t="shared" si="8"/>
        <v>优</v>
      </c>
      <c r="S22" s="86" t="str">
        <f t="shared" si="9"/>
        <v>PM10</v>
      </c>
      <c r="T22" s="87" t="str">
        <f t="shared" si="10"/>
        <v/>
      </c>
    </row>
    <row r="23" ht="14.1" customHeight="1" spans="1:20">
      <c r="A23" s="54" t="str">
        <f t="shared" si="1"/>
        <v>会同县</v>
      </c>
      <c r="B23" s="55">
        <f t="shared" si="12"/>
        <v>2019</v>
      </c>
      <c r="C23" s="55">
        <f t="shared" si="13"/>
        <v>7</v>
      </c>
      <c r="D23" s="56">
        <v>20</v>
      </c>
      <c r="E23" s="57">
        <v>8</v>
      </c>
      <c r="F23" s="58">
        <v>6</v>
      </c>
      <c r="G23" s="75">
        <v>32</v>
      </c>
      <c r="H23" s="58">
        <v>0.7</v>
      </c>
      <c r="I23" s="58">
        <v>78</v>
      </c>
      <c r="J23" s="75">
        <v>18</v>
      </c>
      <c r="K23" s="72">
        <f t="shared" si="2"/>
        <v>8</v>
      </c>
      <c r="L23" s="73">
        <f t="shared" si="3"/>
        <v>8</v>
      </c>
      <c r="M23" s="73">
        <f t="shared" si="4"/>
        <v>32</v>
      </c>
      <c r="N23" s="73">
        <f t="shared" si="5"/>
        <v>18</v>
      </c>
      <c r="O23" s="73">
        <f t="shared" si="16"/>
        <v>39</v>
      </c>
      <c r="P23" s="74">
        <f t="shared" si="6"/>
        <v>26</v>
      </c>
      <c r="Q23" s="85">
        <f t="shared" si="7"/>
        <v>39</v>
      </c>
      <c r="R23" s="86" t="str">
        <f t="shared" si="8"/>
        <v>优</v>
      </c>
      <c r="S23" s="86" t="str">
        <f t="shared" si="9"/>
        <v>O3-8h</v>
      </c>
      <c r="T23" s="87" t="str">
        <f t="shared" si="10"/>
        <v/>
      </c>
    </row>
    <row r="24" ht="14.1" customHeight="1" spans="1:20">
      <c r="A24" s="54" t="str">
        <f t="shared" si="1"/>
        <v>会同县</v>
      </c>
      <c r="B24" s="55">
        <f t="shared" si="12"/>
        <v>2019</v>
      </c>
      <c r="C24" s="55">
        <f t="shared" si="13"/>
        <v>7</v>
      </c>
      <c r="D24" s="56">
        <v>21</v>
      </c>
      <c r="E24" s="57">
        <v>8</v>
      </c>
      <c r="F24" s="58">
        <v>5</v>
      </c>
      <c r="G24" s="75">
        <v>43</v>
      </c>
      <c r="H24" s="58">
        <v>0.6</v>
      </c>
      <c r="I24" s="58">
        <v>71</v>
      </c>
      <c r="J24" s="75">
        <v>23</v>
      </c>
      <c r="K24" s="72">
        <f t="shared" si="2"/>
        <v>8</v>
      </c>
      <c r="L24" s="73">
        <f t="shared" si="3"/>
        <v>7</v>
      </c>
      <c r="M24" s="73">
        <f t="shared" si="4"/>
        <v>43</v>
      </c>
      <c r="N24" s="73">
        <f t="shared" si="5"/>
        <v>15</v>
      </c>
      <c r="O24" s="73">
        <f t="shared" si="16"/>
        <v>36</v>
      </c>
      <c r="P24" s="74">
        <f t="shared" si="6"/>
        <v>33</v>
      </c>
      <c r="Q24" s="85">
        <f t="shared" si="7"/>
        <v>43</v>
      </c>
      <c r="R24" s="86" t="str">
        <f t="shared" si="8"/>
        <v>优</v>
      </c>
      <c r="S24" s="86" t="str">
        <f t="shared" si="9"/>
        <v>PM10</v>
      </c>
      <c r="T24" s="87" t="str">
        <f t="shared" si="10"/>
        <v/>
      </c>
    </row>
    <row r="25" ht="14.1" customHeight="1" spans="1:20">
      <c r="A25" s="54" t="str">
        <f t="shared" si="1"/>
        <v>会同县</v>
      </c>
      <c r="B25" s="55">
        <f t="shared" si="12"/>
        <v>2019</v>
      </c>
      <c r="C25" s="55">
        <f t="shared" si="13"/>
        <v>7</v>
      </c>
      <c r="D25" s="56">
        <v>22</v>
      </c>
      <c r="E25" s="57">
        <v>8</v>
      </c>
      <c r="F25" s="58">
        <v>7</v>
      </c>
      <c r="G25" s="75">
        <v>41</v>
      </c>
      <c r="H25" s="58">
        <v>0.7</v>
      </c>
      <c r="I25" s="58">
        <v>73</v>
      </c>
      <c r="J25" s="75">
        <v>21</v>
      </c>
      <c r="K25" s="72">
        <f t="shared" si="2"/>
        <v>8</v>
      </c>
      <c r="L25" s="73">
        <f t="shared" si="3"/>
        <v>9</v>
      </c>
      <c r="M25" s="73">
        <f t="shared" si="4"/>
        <v>41</v>
      </c>
      <c r="N25" s="73">
        <f t="shared" si="5"/>
        <v>18</v>
      </c>
      <c r="O25" s="73">
        <f t="shared" si="16"/>
        <v>37</v>
      </c>
      <c r="P25" s="74">
        <f t="shared" si="6"/>
        <v>30</v>
      </c>
      <c r="Q25" s="85">
        <f t="shared" si="7"/>
        <v>41</v>
      </c>
      <c r="R25" s="86" t="str">
        <f t="shared" si="8"/>
        <v>优</v>
      </c>
      <c r="S25" s="86" t="str">
        <f t="shared" si="9"/>
        <v>PM10</v>
      </c>
      <c r="T25" s="87" t="str">
        <f t="shared" si="10"/>
        <v/>
      </c>
    </row>
    <row r="26" ht="14.1" customHeight="1" spans="1:20">
      <c r="A26" s="54" t="str">
        <f t="shared" si="1"/>
        <v>会同县</v>
      </c>
      <c r="B26" s="55">
        <f t="shared" si="12"/>
        <v>2019</v>
      </c>
      <c r="C26" s="55">
        <f t="shared" si="13"/>
        <v>7</v>
      </c>
      <c r="D26" s="56">
        <v>23</v>
      </c>
      <c r="E26" s="57">
        <v>7</v>
      </c>
      <c r="F26" s="58">
        <v>6</v>
      </c>
      <c r="G26" s="75">
        <v>28</v>
      </c>
      <c r="H26" s="58">
        <v>0.6</v>
      </c>
      <c r="I26" s="58">
        <v>72</v>
      </c>
      <c r="J26" s="75">
        <v>15</v>
      </c>
      <c r="K26" s="72">
        <f t="shared" si="2"/>
        <v>7</v>
      </c>
      <c r="L26" s="73">
        <f t="shared" si="3"/>
        <v>8</v>
      </c>
      <c r="M26" s="73">
        <f t="shared" si="4"/>
        <v>28</v>
      </c>
      <c r="N26" s="73">
        <f t="shared" si="5"/>
        <v>15</v>
      </c>
      <c r="O26" s="73">
        <f t="shared" si="16"/>
        <v>36</v>
      </c>
      <c r="P26" s="74">
        <f t="shared" si="6"/>
        <v>22</v>
      </c>
      <c r="Q26" s="85">
        <f t="shared" si="7"/>
        <v>36</v>
      </c>
      <c r="R26" s="86" t="str">
        <f t="shared" si="8"/>
        <v>优</v>
      </c>
      <c r="S26" s="86" t="str">
        <f t="shared" si="9"/>
        <v>O3-8h</v>
      </c>
      <c r="T26" s="87" t="str">
        <f t="shared" si="10"/>
        <v/>
      </c>
    </row>
    <row r="27" ht="14.1" customHeight="1" spans="1:20">
      <c r="A27" s="54" t="str">
        <f t="shared" si="1"/>
        <v>会同县</v>
      </c>
      <c r="B27" s="55">
        <f t="shared" si="12"/>
        <v>2019</v>
      </c>
      <c r="C27" s="55">
        <f t="shared" si="13"/>
        <v>7</v>
      </c>
      <c r="D27" s="56">
        <v>24</v>
      </c>
      <c r="E27" s="57">
        <v>6</v>
      </c>
      <c r="F27" s="58">
        <v>6</v>
      </c>
      <c r="G27" s="75">
        <v>33</v>
      </c>
      <c r="H27" s="93">
        <v>0.6</v>
      </c>
      <c r="I27" s="58">
        <v>66</v>
      </c>
      <c r="J27" s="75">
        <v>18</v>
      </c>
      <c r="K27" s="72">
        <f t="shared" si="2"/>
        <v>6</v>
      </c>
      <c r="L27" s="73">
        <f t="shared" si="3"/>
        <v>8</v>
      </c>
      <c r="M27" s="73">
        <f t="shared" si="4"/>
        <v>33</v>
      </c>
      <c r="N27" s="73">
        <f t="shared" si="5"/>
        <v>15</v>
      </c>
      <c r="O27" s="73">
        <f t="shared" si="16"/>
        <v>33</v>
      </c>
      <c r="P27" s="74">
        <f t="shared" si="6"/>
        <v>26</v>
      </c>
      <c r="Q27" s="85">
        <f t="shared" si="7"/>
        <v>33</v>
      </c>
      <c r="R27" s="86" t="str">
        <f t="shared" si="8"/>
        <v>优</v>
      </c>
      <c r="S27" s="86" t="str">
        <f t="shared" si="9"/>
        <v>PM10</v>
      </c>
      <c r="T27" s="87" t="str">
        <f t="shared" si="10"/>
        <v/>
      </c>
    </row>
    <row r="28" ht="14.1" customHeight="1" spans="1:20">
      <c r="A28" s="54" t="str">
        <f t="shared" si="1"/>
        <v>会同县</v>
      </c>
      <c r="B28" s="55">
        <f t="shared" si="12"/>
        <v>2019</v>
      </c>
      <c r="C28" s="55">
        <f t="shared" si="13"/>
        <v>7</v>
      </c>
      <c r="D28" s="51">
        <v>25</v>
      </c>
      <c r="E28" s="57">
        <v>7</v>
      </c>
      <c r="F28" s="58">
        <v>6</v>
      </c>
      <c r="G28" s="75">
        <v>39</v>
      </c>
      <c r="H28" s="58">
        <v>0.6</v>
      </c>
      <c r="I28" s="58">
        <v>71</v>
      </c>
      <c r="J28" s="75">
        <v>21</v>
      </c>
      <c r="K28" s="72">
        <f t="shared" si="2"/>
        <v>7</v>
      </c>
      <c r="L28" s="73">
        <f t="shared" si="3"/>
        <v>8</v>
      </c>
      <c r="M28" s="73">
        <f t="shared" si="4"/>
        <v>39</v>
      </c>
      <c r="N28" s="73">
        <f t="shared" si="5"/>
        <v>15</v>
      </c>
      <c r="O28" s="73">
        <f t="shared" si="16"/>
        <v>36</v>
      </c>
      <c r="P28" s="74">
        <f t="shared" si="6"/>
        <v>30</v>
      </c>
      <c r="Q28" s="85">
        <f t="shared" si="7"/>
        <v>39</v>
      </c>
      <c r="R28" s="86" t="str">
        <f t="shared" si="8"/>
        <v>优</v>
      </c>
      <c r="S28" s="86" t="str">
        <f t="shared" si="9"/>
        <v>PM10</v>
      </c>
      <c r="T28" s="87" t="str">
        <f t="shared" si="10"/>
        <v/>
      </c>
    </row>
    <row r="29" ht="14.1" customHeight="1" spans="1:20">
      <c r="A29" s="54" t="str">
        <f t="shared" si="1"/>
        <v>会同县</v>
      </c>
      <c r="B29" s="55">
        <f t="shared" si="12"/>
        <v>2019</v>
      </c>
      <c r="C29" s="55">
        <f t="shared" si="13"/>
        <v>7</v>
      </c>
      <c r="D29" s="56">
        <v>26</v>
      </c>
      <c r="E29" s="57">
        <v>7</v>
      </c>
      <c r="F29" s="58">
        <v>6</v>
      </c>
      <c r="G29" s="75">
        <v>33</v>
      </c>
      <c r="H29" s="58">
        <v>0.6</v>
      </c>
      <c r="I29" s="58">
        <v>56</v>
      </c>
      <c r="J29" s="75">
        <v>17</v>
      </c>
      <c r="K29" s="72">
        <f t="shared" si="2"/>
        <v>7</v>
      </c>
      <c r="L29" s="73">
        <f t="shared" si="3"/>
        <v>8</v>
      </c>
      <c r="M29" s="73">
        <f t="shared" si="4"/>
        <v>33</v>
      </c>
      <c r="N29" s="73">
        <f t="shared" si="5"/>
        <v>15</v>
      </c>
      <c r="O29" s="73">
        <f t="shared" si="16"/>
        <v>28</v>
      </c>
      <c r="P29" s="74">
        <f t="shared" si="6"/>
        <v>25</v>
      </c>
      <c r="Q29" s="85">
        <f t="shared" si="7"/>
        <v>33</v>
      </c>
      <c r="R29" s="86" t="str">
        <f t="shared" si="8"/>
        <v>优</v>
      </c>
      <c r="S29" s="86" t="str">
        <f t="shared" si="9"/>
        <v>PM10</v>
      </c>
      <c r="T29" s="87" t="str">
        <f t="shared" si="10"/>
        <v/>
      </c>
    </row>
    <row r="30" ht="14.1" customHeight="1" spans="1:20">
      <c r="A30" s="54" t="str">
        <f t="shared" si="1"/>
        <v>会同县</v>
      </c>
      <c r="B30" s="55">
        <f t="shared" si="12"/>
        <v>2019</v>
      </c>
      <c r="C30" s="55">
        <f t="shared" si="13"/>
        <v>7</v>
      </c>
      <c r="D30" s="56">
        <v>27</v>
      </c>
      <c r="E30" s="57">
        <v>6</v>
      </c>
      <c r="F30" s="58">
        <v>6</v>
      </c>
      <c r="G30" s="75">
        <v>31</v>
      </c>
      <c r="H30" s="58">
        <v>0.6</v>
      </c>
      <c r="I30" s="58">
        <v>62</v>
      </c>
      <c r="J30" s="75">
        <v>15</v>
      </c>
      <c r="K30" s="72">
        <f t="shared" si="2"/>
        <v>6</v>
      </c>
      <c r="L30" s="73">
        <f t="shared" si="3"/>
        <v>8</v>
      </c>
      <c r="M30" s="73">
        <f t="shared" si="4"/>
        <v>31</v>
      </c>
      <c r="N30" s="73">
        <f t="shared" si="5"/>
        <v>15</v>
      </c>
      <c r="O30" s="73">
        <f t="shared" si="16"/>
        <v>31</v>
      </c>
      <c r="P30" s="74">
        <f t="shared" si="6"/>
        <v>22</v>
      </c>
      <c r="Q30" s="85">
        <f t="shared" si="7"/>
        <v>31</v>
      </c>
      <c r="R30" s="86" t="str">
        <f t="shared" si="8"/>
        <v>优</v>
      </c>
      <c r="S30" s="86" t="str">
        <f t="shared" si="9"/>
        <v>PM10</v>
      </c>
      <c r="T30" s="87" t="str">
        <f t="shared" si="10"/>
        <v/>
      </c>
    </row>
    <row r="31" ht="14.1" customHeight="1" spans="1:20">
      <c r="A31" s="54" t="str">
        <f t="shared" si="1"/>
        <v>会同县</v>
      </c>
      <c r="B31" s="55">
        <f t="shared" si="12"/>
        <v>2019</v>
      </c>
      <c r="C31" s="55">
        <f t="shared" si="13"/>
        <v>7</v>
      </c>
      <c r="D31" s="56">
        <v>28</v>
      </c>
      <c r="E31" s="57">
        <v>6</v>
      </c>
      <c r="F31" s="58">
        <v>7</v>
      </c>
      <c r="G31" s="75">
        <v>36</v>
      </c>
      <c r="H31" s="58">
        <v>0.9</v>
      </c>
      <c r="I31" s="58">
        <v>71</v>
      </c>
      <c r="J31" s="75">
        <v>18</v>
      </c>
      <c r="K31" s="72">
        <f t="shared" si="2"/>
        <v>6</v>
      </c>
      <c r="L31" s="73">
        <f t="shared" si="3"/>
        <v>9</v>
      </c>
      <c r="M31" s="73">
        <f t="shared" si="4"/>
        <v>36</v>
      </c>
      <c r="N31" s="73">
        <f t="shared" si="5"/>
        <v>23</v>
      </c>
      <c r="O31" s="73">
        <f t="shared" si="16"/>
        <v>36</v>
      </c>
      <c r="P31" s="74">
        <f t="shared" si="6"/>
        <v>26</v>
      </c>
      <c r="Q31" s="85">
        <f t="shared" si="7"/>
        <v>36</v>
      </c>
      <c r="R31" s="86" t="str">
        <f t="shared" si="8"/>
        <v>优</v>
      </c>
      <c r="S31" s="86" t="str">
        <f t="shared" si="9"/>
        <v>PM10</v>
      </c>
      <c r="T31" s="87" t="str">
        <f t="shared" si="10"/>
        <v/>
      </c>
    </row>
    <row r="32" ht="14.1" customHeight="1" spans="1:20">
      <c r="A32" s="54" t="str">
        <f t="shared" si="1"/>
        <v>会同县</v>
      </c>
      <c r="B32" s="55">
        <f t="shared" si="12"/>
        <v>2019</v>
      </c>
      <c r="C32" s="55">
        <f t="shared" si="13"/>
        <v>7</v>
      </c>
      <c r="D32" s="56">
        <v>29</v>
      </c>
      <c r="E32" s="57">
        <v>13</v>
      </c>
      <c r="F32" s="58">
        <v>7</v>
      </c>
      <c r="G32" s="75">
        <v>37</v>
      </c>
      <c r="H32" s="58">
        <v>0.9</v>
      </c>
      <c r="I32" s="58">
        <v>73</v>
      </c>
      <c r="J32" s="75">
        <v>23</v>
      </c>
      <c r="K32" s="72">
        <f t="shared" si="2"/>
        <v>13</v>
      </c>
      <c r="L32" s="73">
        <f t="shared" si="3"/>
        <v>9</v>
      </c>
      <c r="M32" s="73">
        <f t="shared" si="4"/>
        <v>37</v>
      </c>
      <c r="N32" s="73">
        <f t="shared" si="5"/>
        <v>23</v>
      </c>
      <c r="O32" s="73">
        <f t="shared" si="16"/>
        <v>37</v>
      </c>
      <c r="P32" s="74">
        <f t="shared" si="6"/>
        <v>33</v>
      </c>
      <c r="Q32" s="85">
        <f t="shared" si="7"/>
        <v>37</v>
      </c>
      <c r="R32" s="86" t="str">
        <f t="shared" si="8"/>
        <v>优</v>
      </c>
      <c r="S32" s="86" t="str">
        <f t="shared" si="9"/>
        <v>PM10</v>
      </c>
      <c r="T32" s="87" t="str">
        <f t="shared" si="10"/>
        <v/>
      </c>
    </row>
    <row r="33" ht="14.1" customHeight="1" spans="1:20">
      <c r="A33" s="54" t="str">
        <f t="shared" si="1"/>
        <v>会同县</v>
      </c>
      <c r="B33" s="55">
        <f t="shared" si="12"/>
        <v>2019</v>
      </c>
      <c r="C33" s="55">
        <f t="shared" si="13"/>
        <v>7</v>
      </c>
      <c r="D33" s="56">
        <v>30</v>
      </c>
      <c r="E33" s="57">
        <v>10</v>
      </c>
      <c r="F33" s="58">
        <v>6</v>
      </c>
      <c r="G33" s="75">
        <v>37</v>
      </c>
      <c r="H33" s="58">
        <v>0.7</v>
      </c>
      <c r="I33" s="58">
        <v>63</v>
      </c>
      <c r="J33" s="75">
        <v>23</v>
      </c>
      <c r="K33" s="72">
        <f t="shared" si="2"/>
        <v>10</v>
      </c>
      <c r="L33" s="73">
        <f t="shared" si="3"/>
        <v>8</v>
      </c>
      <c r="M33" s="73">
        <f t="shared" si="4"/>
        <v>37</v>
      </c>
      <c r="N33" s="73">
        <f t="shared" si="5"/>
        <v>18</v>
      </c>
      <c r="O33" s="73">
        <f t="shared" si="16"/>
        <v>32</v>
      </c>
      <c r="P33" s="74">
        <f t="shared" si="6"/>
        <v>33</v>
      </c>
      <c r="Q33" s="85">
        <f t="shared" si="7"/>
        <v>37</v>
      </c>
      <c r="R33" s="86" t="str">
        <f t="shared" si="8"/>
        <v>优</v>
      </c>
      <c r="S33" s="86" t="str">
        <f t="shared" si="9"/>
        <v>PM10</v>
      </c>
      <c r="T33" s="87" t="str">
        <f t="shared" si="10"/>
        <v/>
      </c>
    </row>
    <row r="34" ht="14.1" customHeight="1" spans="1:20">
      <c r="A34" s="59" t="str">
        <f>IF(OR(C12=1,C12=3,C12=5,C12=7,C12=8,C12=10,C12=12),$A$4,"")</f>
        <v>会同县</v>
      </c>
      <c r="B34" s="60">
        <f>IF(OR(C12=1,C12=3,C12=5,C12=7,C12=8,C12=10,C12=12),$B$4,"")</f>
        <v>2019</v>
      </c>
      <c r="C34" s="60">
        <f>IF(OR(C12=1,C12=3,C12=5,C12=7,C12=8,C12=10,C12=12),$C$4,"")</f>
        <v>7</v>
      </c>
      <c r="D34" s="61">
        <f>IF(OR(C12=1,C12=3,C12=5,C12=7,C12=8,C12=10,C12=12),31,"")</f>
        <v>31</v>
      </c>
      <c r="E34" s="62">
        <v>5</v>
      </c>
      <c r="F34" s="63">
        <v>6</v>
      </c>
      <c r="G34" s="63">
        <v>36</v>
      </c>
      <c r="H34" s="63">
        <v>0.5</v>
      </c>
      <c r="I34" s="63">
        <v>59</v>
      </c>
      <c r="J34" s="77">
        <v>17</v>
      </c>
      <c r="K34" s="72">
        <f t="shared" si="2"/>
        <v>5</v>
      </c>
      <c r="L34" s="73">
        <f t="shared" si="3"/>
        <v>8</v>
      </c>
      <c r="M34" s="73">
        <v>39</v>
      </c>
      <c r="N34" s="73">
        <f t="shared" si="5"/>
        <v>13</v>
      </c>
      <c r="O34" s="73">
        <f t="shared" si="16"/>
        <v>30</v>
      </c>
      <c r="P34" s="74">
        <f t="shared" si="6"/>
        <v>25</v>
      </c>
      <c r="Q34" s="89">
        <v>46</v>
      </c>
      <c r="R34" s="90" t="str">
        <f>IF(OR(C13=1,C13=3,C13=5,C13=7,C13=8,C13=10,C13=12),IF(Q34&gt;100,IF((150-Q34&gt;=0),"轻度污染",IF((200-Q34&gt;=0),"中度污染",IF((300-Q34&gt;=0),"重度污染",IF((Q34&gt;300),"严重污染")))),IF(OR(K34="",L34="",M34="",N34="",O34="",P34=""),"无效",IF((50-Q34&gt;=0),"优",IF((100-Q34&gt;=0),"良")))),"")</f>
        <v>优</v>
      </c>
      <c r="S34" s="90" t="e">
        <f>IF(Q34="","",IF(OR($C$4=1,$C$4=3,$C$4=5,$C$4=7,$C$4=8,$C$4=10,$C$4=12),IF(R34="无效","",INDEX($K$3:$P$3,MATCH(Q34,K34:P34,0))),""))</f>
        <v>#N/A</v>
      </c>
      <c r="T34" s="91" t="str">
        <f t="shared" si="10"/>
        <v/>
      </c>
    </row>
    <row r="35" ht="14.1" customHeight="1" spans="4:10">
      <c r="D35" s="64"/>
      <c r="E35" s="65"/>
      <c r="F35" s="65"/>
      <c r="G35" s="65"/>
      <c r="H35" s="65"/>
      <c r="I35" s="65"/>
      <c r="J35" s="65"/>
    </row>
    <row r="36" s="32" customFormat="1" ht="14.1" customHeight="1"/>
    <row r="37" s="32" customFormat="1" ht="14.1" customHeight="1"/>
    <row r="38" s="32" customFormat="1" ht="14.1" customHeight="1"/>
    <row r="39" s="32" customFormat="1" ht="14.1" customHeight="1"/>
    <row r="40" s="32" customFormat="1" ht="14.1" customHeight="1"/>
    <row r="41" s="32" customFormat="1" ht="14.1" customHeight="1"/>
  </sheetData>
  <sheetProtection formatCells="0" formatColumns="0" formatRows="0"/>
  <mergeCells count="11">
    <mergeCell ref="E1:J1"/>
    <mergeCell ref="E2:J2"/>
    <mergeCell ref="A1:A3"/>
    <mergeCell ref="B1:B3"/>
    <mergeCell ref="C1:C3"/>
    <mergeCell ref="D1:D3"/>
    <mergeCell ref="Q1:Q3"/>
    <mergeCell ref="R1:R3"/>
    <mergeCell ref="S1:S3"/>
    <mergeCell ref="T1:T3"/>
    <mergeCell ref="K1:P2"/>
  </mergeCells>
  <printOptions horizontalCentered="1" verticalCentered="1"/>
  <pageMargins left="0.511805555555556" right="0.313888888888889" top="0.747916666666667" bottom="0.55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workbookViewId="0">
      <selection activeCell="F49" sqref="F49"/>
    </sheetView>
  </sheetViews>
  <sheetFormatPr defaultColWidth="9" defaultRowHeight="13.5"/>
  <cols>
    <col min="1" max="1" width="7.875" style="1" customWidth="1"/>
    <col min="2" max="2" width="6.625" style="1" customWidth="1"/>
    <col min="3" max="3" width="5.375" style="1" customWidth="1"/>
    <col min="4" max="4" width="5.125" style="1" customWidth="1"/>
    <col min="5" max="16" width="6.625" style="1" customWidth="1"/>
    <col min="17" max="17" width="7.875" style="1" customWidth="1"/>
    <col min="18" max="20" width="8.625" style="1" customWidth="1"/>
    <col min="21" max="21" width="3.625" style="1" customWidth="1"/>
    <col min="22" max="22" width="9" style="1"/>
    <col min="23" max="23" width="9.75" style="1" customWidth="1"/>
    <col min="24" max="28" width="9" style="1"/>
    <col min="29" max="29" width="10.25" style="1" customWidth="1"/>
    <col min="30" max="30" width="9.625" style="1" customWidth="1"/>
    <col min="31" max="16384" width="9" style="1"/>
  </cols>
  <sheetData>
    <row r="1" ht="18.75" customHeight="1" spans="1:20">
      <c r="A1" s="33" t="s">
        <v>35</v>
      </c>
      <c r="B1" s="34" t="s">
        <v>1</v>
      </c>
      <c r="C1" s="34" t="s">
        <v>2</v>
      </c>
      <c r="D1" s="35" t="s">
        <v>3</v>
      </c>
      <c r="E1" s="36" t="s">
        <v>4</v>
      </c>
      <c r="F1" s="37"/>
      <c r="G1" s="37"/>
      <c r="H1" s="37"/>
      <c r="I1" s="37"/>
      <c r="J1" s="66"/>
      <c r="K1" s="67" t="s">
        <v>5</v>
      </c>
      <c r="L1" s="34"/>
      <c r="M1" s="34"/>
      <c r="N1" s="34"/>
      <c r="O1" s="34"/>
      <c r="P1" s="35"/>
      <c r="Q1" s="33" t="s">
        <v>6</v>
      </c>
      <c r="R1" s="78" t="s">
        <v>7</v>
      </c>
      <c r="S1" s="78" t="s">
        <v>8</v>
      </c>
      <c r="T1" s="79" t="s">
        <v>9</v>
      </c>
    </row>
    <row r="2" ht="19.5" customHeight="1" spans="1:20">
      <c r="A2" s="38"/>
      <c r="B2" s="39"/>
      <c r="C2" s="39"/>
      <c r="D2" s="40"/>
      <c r="E2" s="41" t="s">
        <v>10</v>
      </c>
      <c r="F2" s="42"/>
      <c r="G2" s="42"/>
      <c r="H2" s="42"/>
      <c r="I2" s="42"/>
      <c r="J2" s="68"/>
      <c r="K2" s="69"/>
      <c r="L2" s="39"/>
      <c r="M2" s="39"/>
      <c r="N2" s="39"/>
      <c r="O2" s="39"/>
      <c r="P2" s="40"/>
      <c r="Q2" s="38"/>
      <c r="R2" s="80"/>
      <c r="S2" s="80"/>
      <c r="T2" s="81"/>
    </row>
    <row r="3" ht="25.5" customHeight="1" spans="1:28">
      <c r="A3" s="43"/>
      <c r="B3" s="44"/>
      <c r="C3" s="44"/>
      <c r="D3" s="45"/>
      <c r="E3" s="46" t="s">
        <v>11</v>
      </c>
      <c r="F3" s="47" t="s">
        <v>12</v>
      </c>
      <c r="G3" s="48" t="s">
        <v>13</v>
      </c>
      <c r="H3" s="48" t="s">
        <v>14</v>
      </c>
      <c r="I3" s="48" t="s">
        <v>15</v>
      </c>
      <c r="J3" s="70" t="s">
        <v>16</v>
      </c>
      <c r="K3" s="46" t="s">
        <v>11</v>
      </c>
      <c r="L3" s="47" t="s">
        <v>12</v>
      </c>
      <c r="M3" s="48" t="s">
        <v>13</v>
      </c>
      <c r="N3" s="48" t="s">
        <v>14</v>
      </c>
      <c r="O3" s="48" t="s">
        <v>15</v>
      </c>
      <c r="P3" s="70" t="s">
        <v>16</v>
      </c>
      <c r="Q3" s="43"/>
      <c r="R3" s="82"/>
      <c r="S3" s="82"/>
      <c r="T3" s="83"/>
      <c r="W3" s="46" t="s">
        <v>11</v>
      </c>
      <c r="X3" s="47" t="s">
        <v>12</v>
      </c>
      <c r="Y3" s="48" t="s">
        <v>13</v>
      </c>
      <c r="Z3" s="48" t="s">
        <v>14</v>
      </c>
      <c r="AA3" s="48" t="s">
        <v>15</v>
      </c>
      <c r="AB3" s="70" t="s">
        <v>16</v>
      </c>
    </row>
    <row r="4" ht="14.1" customHeight="1" spans="1:39">
      <c r="A4" s="49" t="s">
        <v>36</v>
      </c>
      <c r="B4" s="50">
        <v>2017</v>
      </c>
      <c r="C4" s="50">
        <v>6</v>
      </c>
      <c r="D4" s="51">
        <v>1</v>
      </c>
      <c r="E4" s="52"/>
      <c r="F4" s="53"/>
      <c r="G4" s="53"/>
      <c r="H4" s="53"/>
      <c r="I4" s="53"/>
      <c r="J4" s="71"/>
      <c r="K4" s="72" t="str">
        <f>IF(E4="","",ROUNDUP(IF((50-E4)&gt;=0,E4,IF((150-E4)&gt;=0,0.5*(E4-50)+50,IF((475-E4)&gt;=0,(50/325)*(E4-150)+100,IF((800-E4)&gt;=0,(50/325)*(E4-475)+150,IF((1600-E4)&gt;=0,(1/8)*(E4-800)+200,IF((2100-E4)&gt;=0,(1/5)*(E4-1600)+300,IF((2620-E4)&gt;=0,(10/52)*(E4-2100)+400,""))))))),0))</f>
        <v/>
      </c>
      <c r="L4" s="73" t="str">
        <f>IF(F4="","",ROUNDUP(IF((40-F4)&gt;=0,(5/4)*F4,IF((80-F4)&gt;=0,(5/4)*(F4-40)+50,IF((180-F4)&gt;=0,(1/2)*(F4-80)+100,IF((280-F4)&gt;=0,(1/2)*(F4-180)+150,IF((565-F4)&gt;=0,(100/285)*(F4-280)+200,IF((750-F4)&gt;=0,(100/185)*(F4-565)+300,IF((940-F4)&gt;=0,(100/190)*(F4-750)+400,""))))))),0))</f>
        <v/>
      </c>
      <c r="M4" s="73" t="str">
        <f>IF(G4="","",ROUNDUP(IF((50-G4)&gt;=0,G4,IF((150-G4)&gt;=0,0.5*(G4-50)+50,IF((250-G4)&gt;=0,0.5*(G4-150)+100,IF((350-G4)&gt;=0,0.5*(G4-250)+150,IF((420-G4)&gt;=0,(10/7)*(G4-350)+200,IF((500-G4)&gt;=0,(10/8)*(G4-420)+300,IF((600-G4)&gt;=0,(G4-500)+400,""))))))),0))</f>
        <v/>
      </c>
      <c r="N4" s="73" t="str">
        <f>IF(H4="","",ROUNDUP(IF((2-H4)&gt;=0,25*H4,IF((4-H4)&gt;=0,25*(H4-2)+50,IF((14-H4)&gt;=0,5*(H4-4)+100,IF((24-H4)&gt;=0,5*(H4-14)+150,IF((36-H4)&gt;=0,(100/12)*(H4-24)+200,IF((48-H4)&gt;=0,(100/12)*(H4-36)+300,IF((60-H4)&gt;=0,(100/12)*(H4-48)+400,""))))))),0))</f>
        <v/>
      </c>
      <c r="O4" s="73" t="str">
        <f>IF(I4="","",ROUNDUP(IF((100-I4)&gt;=0,0.5*I4,IF((160-I4)&gt;=0,(5/6)*(I4-100)+50,IF((215-I4)&gt;=0,(50/55)*(I4-160)+100,IF((265-I4)&gt;=0,(I4-215)+150,IF((800-I4)&gt;=0,(100/535)*(I4-265)+200,""))))),0))</f>
        <v/>
      </c>
      <c r="P4" s="74" t="str">
        <f>IF(J4="","",ROUNDUP(IF((35-J4)&gt;=0,(50/35)*J4,IF((75-J4)&gt;=0,(5/4)*(J4-35)+50,IF((115-J4)&gt;=0,(5/4)*(J4-75)+100,IF((150-J4)&gt;=0,(50/35)*(J4-115)+150,IF((250-J4)&gt;=0,(J4-150)+200,IF((350-J4)&gt;=0,(J4-250)+300,IF((500-J4)&gt;=0,(10/15)*(J4-350)+400,""))))))),0))</f>
        <v/>
      </c>
      <c r="Q4" s="72">
        <f>MAX(K4:P4)</f>
        <v>0</v>
      </c>
      <c r="R4" s="73" t="str">
        <f>IF(Q4&gt;100,IF((150-Q4&gt;=0),"轻度污染",IF((200-Q4&gt;=0),"中度污染",IF((300-Q4&gt;=0),"重度污染",IF((Q4&gt;300),"严重污染")))),IF(OR(K4="",L4="",M4="",N4="",O4="",P4=""),"无效",IF((50-Q4&gt;=0),"优",IF((100-Q4&gt;=0),"良"))))</f>
        <v>无效</v>
      </c>
      <c r="S4" s="73" t="str">
        <f>IF(R4="无效","",INDEX($K$3:$P$3,MATCH(Q4,K4:P4,0)))</f>
        <v/>
      </c>
      <c r="T4" s="74" t="str">
        <f>IF(Q4&gt;100,S4,"")</f>
        <v/>
      </c>
      <c r="V4" s="84" t="s">
        <v>18</v>
      </c>
      <c r="W4" s="84">
        <f>MIN(E4:E34)</f>
        <v>0</v>
      </c>
      <c r="X4" s="84">
        <f t="shared" ref="X4:AB4" si="0">MIN(F4:F34)</f>
        <v>0</v>
      </c>
      <c r="Y4" s="84">
        <f t="shared" si="0"/>
        <v>0</v>
      </c>
      <c r="Z4" s="84">
        <f t="shared" si="0"/>
        <v>0</v>
      </c>
      <c r="AA4" s="84">
        <f t="shared" si="0"/>
        <v>0</v>
      </c>
      <c r="AB4" s="84">
        <f t="shared" si="0"/>
        <v>0</v>
      </c>
      <c r="AM4" s="32"/>
    </row>
    <row r="5" ht="14.1" customHeight="1" spans="1:39">
      <c r="A5" s="54" t="str">
        <f t="shared" ref="A5:A33" si="1">$A$4</f>
        <v>对照点</v>
      </c>
      <c r="B5" s="55">
        <f>$B$4</f>
        <v>2017</v>
      </c>
      <c r="C5" s="55">
        <f>$C$4</f>
        <v>6</v>
      </c>
      <c r="D5" s="56">
        <v>2</v>
      </c>
      <c r="E5" s="57"/>
      <c r="F5" s="58"/>
      <c r="G5" s="58"/>
      <c r="H5" s="58"/>
      <c r="I5" s="58"/>
      <c r="J5" s="75"/>
      <c r="K5" s="72" t="str">
        <f t="shared" ref="K5:K34" si="2">IF(E5="","",ROUNDUP(IF((50-E5)&gt;=0,E5,IF((150-E5)&gt;=0,0.5*(E5-50)+50,IF((475-E5)&gt;=0,(50/325)*(E5-150)+100,IF((800-E5)&gt;=0,(50/325)*(E5-475)+150,IF((1600-E5)&gt;=0,(1/8)*(E5-800)+200,IF((2100-E5)&gt;=0,(1/5)*(E5-1600)+300,IF((2620-E5)&gt;=0,(10/52)*(E5-2100)+400,""))))))),0))</f>
        <v/>
      </c>
      <c r="L5" s="73" t="str">
        <f t="shared" ref="L5:L34" si="3">IF(F5="","",ROUNDUP(IF((40-F5)&gt;=0,(5/4)*F5,IF((80-F5)&gt;=0,(5/4)*(F5-40)+50,IF((180-F5)&gt;=0,(1/2)*(F5-80)+100,IF((280-F5)&gt;=0,(1/2)*(F5-180)+150,IF((565-F5)&gt;=0,(100/285)*(F5-280)+200,IF((750-F5)&gt;=0,(100/185)*(F5-565)+300,IF((940-F5)&gt;=0,(100/190)*(F5-750)+400,""))))))),0))</f>
        <v/>
      </c>
      <c r="M5" s="73" t="str">
        <f t="shared" ref="M5:M34" si="4">IF(G5="","",ROUNDUP(IF((50-G5)&gt;=0,G5,IF((150-G5)&gt;=0,0.5*(G5-50)+50,IF((250-G5)&gt;=0,0.5*(G5-150)+100,IF((350-G5)&gt;=0,0.5*(G5-250)+150,IF((420-G5)&gt;=0,(10/7)*(G5-350)+200,IF((500-G5)&gt;=0,(10/8)*(G5-420)+300,IF((600-G5)&gt;=0,(G5-500)+400,""))))))),0))</f>
        <v/>
      </c>
      <c r="N5" s="73" t="str">
        <f t="shared" ref="N5:N34" si="5">IF(H5="","",ROUNDUP(IF((2-H5)&gt;=0,25*H5,IF((4-H5)&gt;=0,25*(H5-2)+50,IF((14-H5)&gt;=0,5*(H5-4)+100,IF((24-H5)&gt;=0,5*(H5-14)+150,IF((36-H5)&gt;=0,(100/12)*(H5-24)+200,IF((48-H5)&gt;=0,(100/12)*(H5-36)+300,IF((60-H5)&gt;=0,(100/12)*(H5-48)+400,""))))))),0))</f>
        <v/>
      </c>
      <c r="O5" s="73" t="str">
        <f t="shared" ref="O5:O34" si="6">IF(I5="","",ROUNDUP(IF((100-I5)&gt;=0,0.5*I5,IF((160-I5)&gt;=0,(5/6)*(I5-100)+50,IF((215-I5)&gt;=0,(50/55)*(I5-160)+100,IF((265-I5)&gt;=0,(I5-215)+150,IF((800-I5)&gt;=0,(100/535)*(I5-265)+200,""))))),0))</f>
        <v/>
      </c>
      <c r="P5" s="74" t="str">
        <f t="shared" ref="P5:P34" si="7">IF(J5="","",ROUNDUP(IF((35-J5)&gt;=0,(50/35)*J5,IF((75-J5)&gt;=0,(5/4)*(J5-35)+50,IF((115-J5)&gt;=0,(5/4)*(J5-75)+100,IF((150-J5)&gt;=0,(50/35)*(J5-115)+150,IF((250-J5)&gt;=0,(J5-150)+200,IF((350-J5)&gt;=0,(J5-250)+300,IF((500-J5)&gt;=0,(10/15)*(J5-350)+400,""))))))),0))</f>
        <v/>
      </c>
      <c r="Q5" s="85">
        <f t="shared" ref="Q5:Q33" si="8">MAX(K5:P5)</f>
        <v>0</v>
      </c>
      <c r="R5" s="86" t="str">
        <f t="shared" ref="R5:R33" si="9">IF(Q5&gt;100,IF((150-Q5&gt;=0),"轻度污染",IF((200-Q5&gt;=0),"中度污染",IF((300-Q5&gt;=0),"重度污染",IF((Q5&gt;300),"严重污染")))),IF(OR(K5="",L5="",M5="",N5="",O5="",P5=""),"无效",IF((50-Q5&gt;=0),"优",IF((100-Q5&gt;=0),"良"))))</f>
        <v>无效</v>
      </c>
      <c r="S5" s="86" t="str">
        <f t="shared" ref="S5:S33" si="10">IF(R5="无效","",INDEX($K$3:$P$3,MATCH(Q5,K5:P5,0)))</f>
        <v/>
      </c>
      <c r="T5" s="87" t="str">
        <f t="shared" ref="T5:T34" si="11">IF(Q5&gt;100,S5,"")</f>
        <v/>
      </c>
      <c r="V5" s="84" t="s">
        <v>19</v>
      </c>
      <c r="W5" s="84">
        <f t="shared" ref="W5:AB5" si="12">MAX(E4:E34)</f>
        <v>0</v>
      </c>
      <c r="X5" s="84">
        <f t="shared" si="12"/>
        <v>0</v>
      </c>
      <c r="Y5" s="84">
        <f t="shared" si="12"/>
        <v>0</v>
      </c>
      <c r="Z5" s="84">
        <f t="shared" si="12"/>
        <v>0</v>
      </c>
      <c r="AA5" s="84">
        <f t="shared" si="12"/>
        <v>0</v>
      </c>
      <c r="AB5" s="84">
        <f t="shared" si="12"/>
        <v>0</v>
      </c>
      <c r="AM5" s="32"/>
    </row>
    <row r="6" ht="14.1" customHeight="1" spans="1:39">
      <c r="A6" s="54" t="str">
        <f t="shared" si="1"/>
        <v>对照点</v>
      </c>
      <c r="B6" s="55">
        <f t="shared" ref="B6:B33" si="13">$B$4</f>
        <v>2017</v>
      </c>
      <c r="C6" s="55">
        <f t="shared" ref="C6:C33" si="14">$C$4</f>
        <v>6</v>
      </c>
      <c r="D6" s="56">
        <v>3</v>
      </c>
      <c r="E6" s="57"/>
      <c r="F6" s="58"/>
      <c r="G6" s="58"/>
      <c r="H6" s="58"/>
      <c r="I6" s="58"/>
      <c r="J6" s="75"/>
      <c r="K6" s="72" t="str">
        <f t="shared" si="2"/>
        <v/>
      </c>
      <c r="L6" s="73" t="str">
        <f t="shared" si="3"/>
        <v/>
      </c>
      <c r="M6" s="73" t="str">
        <f t="shared" si="4"/>
        <v/>
      </c>
      <c r="N6" s="73" t="str">
        <f t="shared" si="5"/>
        <v/>
      </c>
      <c r="O6" s="73" t="str">
        <f t="shared" si="6"/>
        <v/>
      </c>
      <c r="P6" s="74" t="str">
        <f t="shared" si="7"/>
        <v/>
      </c>
      <c r="Q6" s="85">
        <f t="shared" si="8"/>
        <v>0</v>
      </c>
      <c r="R6" s="86" t="str">
        <f t="shared" si="9"/>
        <v>无效</v>
      </c>
      <c r="S6" s="86" t="str">
        <f t="shared" si="10"/>
        <v/>
      </c>
      <c r="T6" s="87" t="str">
        <f t="shared" si="11"/>
        <v/>
      </c>
      <c r="V6" s="84" t="s">
        <v>20</v>
      </c>
      <c r="W6" s="84" t="e">
        <f t="shared" ref="W6:Y6" si="15">ROUND(AVERAGE(E4:E34),0)-(MOD(AVERAGE(E4:E34),2)=0.5)</f>
        <v>#DIV/0!</v>
      </c>
      <c r="X6" s="84" t="e">
        <f t="shared" si="15"/>
        <v>#DIV/0!</v>
      </c>
      <c r="Y6" s="84" t="e">
        <f t="shared" si="15"/>
        <v>#DIV/0!</v>
      </c>
      <c r="Z6" s="84" t="e">
        <f>(ROUND(AVERAGE(H4:H34)*10,0)-(MOD(AVERAGE(H4:H34)*10,2)=0.5))/10</f>
        <v>#DIV/0!</v>
      </c>
      <c r="AA6" s="84" t="e">
        <f>ROUND(AVERAGE(I4:I34),0)-(MOD(AVERAGE(I4:I34),2)=0.5)</f>
        <v>#DIV/0!</v>
      </c>
      <c r="AB6" s="84" t="e">
        <f>ROUND(AVERAGE(J4:J34),0)-(MOD(AVERAGE(J4:J34),2)=0.5)</f>
        <v>#DIV/0!</v>
      </c>
      <c r="AE6" s="32"/>
      <c r="AF6" s="92"/>
      <c r="AG6" s="32"/>
      <c r="AH6" s="32"/>
      <c r="AI6" s="32"/>
      <c r="AJ6" s="32"/>
      <c r="AK6" s="32"/>
      <c r="AL6" s="32"/>
      <c r="AM6" s="32"/>
    </row>
    <row r="7" ht="14.1" customHeight="1" spans="1:39">
      <c r="A7" s="54" t="str">
        <f t="shared" si="1"/>
        <v>对照点</v>
      </c>
      <c r="B7" s="55">
        <f t="shared" si="13"/>
        <v>2017</v>
      </c>
      <c r="C7" s="55">
        <f t="shared" si="14"/>
        <v>6</v>
      </c>
      <c r="D7" s="56">
        <v>4</v>
      </c>
      <c r="E7" s="57"/>
      <c r="F7" s="58"/>
      <c r="G7" s="58"/>
      <c r="H7" s="58"/>
      <c r="I7" s="58"/>
      <c r="J7" s="75"/>
      <c r="K7" s="72" t="str">
        <f t="shared" si="2"/>
        <v/>
      </c>
      <c r="L7" s="73" t="str">
        <f t="shared" si="3"/>
        <v/>
      </c>
      <c r="M7" s="73" t="str">
        <f t="shared" si="4"/>
        <v/>
      </c>
      <c r="N7" s="73" t="str">
        <f t="shared" si="5"/>
        <v/>
      </c>
      <c r="O7" s="73" t="str">
        <f t="shared" si="6"/>
        <v/>
      </c>
      <c r="P7" s="74" t="str">
        <f t="shared" si="7"/>
        <v/>
      </c>
      <c r="Q7" s="85">
        <f t="shared" si="8"/>
        <v>0</v>
      </c>
      <c r="R7" s="86" t="str">
        <f t="shared" si="9"/>
        <v>无效</v>
      </c>
      <c r="S7" s="86" t="str">
        <f t="shared" si="10"/>
        <v/>
      </c>
      <c r="T7" s="87" t="str">
        <f t="shared" si="11"/>
        <v/>
      </c>
      <c r="V7" s="84" t="s">
        <v>21</v>
      </c>
      <c r="W7" s="84">
        <f>COUNT(E4:E34)</f>
        <v>0</v>
      </c>
      <c r="X7" s="84">
        <f t="shared" ref="X7:AB7" si="16">COUNT(F4:F34)</f>
        <v>0</v>
      </c>
      <c r="Y7" s="84">
        <f t="shared" si="16"/>
        <v>0</v>
      </c>
      <c r="Z7" s="84">
        <f t="shared" si="16"/>
        <v>0</v>
      </c>
      <c r="AA7" s="84">
        <f t="shared" si="16"/>
        <v>0</v>
      </c>
      <c r="AB7" s="84">
        <f t="shared" si="16"/>
        <v>0</v>
      </c>
      <c r="AE7" s="32"/>
      <c r="AF7" s="32"/>
      <c r="AG7" s="32"/>
      <c r="AH7" s="32"/>
      <c r="AI7" s="32"/>
      <c r="AJ7" s="32"/>
      <c r="AK7" s="32"/>
      <c r="AL7" s="32"/>
      <c r="AM7" s="32"/>
    </row>
    <row r="8" ht="14.1" customHeight="1" spans="1:39">
      <c r="A8" s="54" t="str">
        <f t="shared" si="1"/>
        <v>对照点</v>
      </c>
      <c r="B8" s="55">
        <f t="shared" si="13"/>
        <v>2017</v>
      </c>
      <c r="C8" s="55">
        <f t="shared" si="14"/>
        <v>6</v>
      </c>
      <c r="D8" s="56">
        <v>5</v>
      </c>
      <c r="E8" s="57"/>
      <c r="F8" s="58"/>
      <c r="G8" s="58"/>
      <c r="H8" s="58"/>
      <c r="I8" s="58"/>
      <c r="J8" s="75"/>
      <c r="K8" s="72" t="str">
        <f t="shared" si="2"/>
        <v/>
      </c>
      <c r="L8" s="73" t="str">
        <f t="shared" si="3"/>
        <v/>
      </c>
      <c r="M8" s="73" t="str">
        <f t="shared" si="4"/>
        <v/>
      </c>
      <c r="N8" s="73" t="str">
        <f t="shared" si="5"/>
        <v/>
      </c>
      <c r="O8" s="73" t="str">
        <f t="shared" si="6"/>
        <v/>
      </c>
      <c r="P8" s="74" t="str">
        <f t="shared" si="7"/>
        <v/>
      </c>
      <c r="Q8" s="85">
        <f t="shared" si="8"/>
        <v>0</v>
      </c>
      <c r="R8" s="86" t="str">
        <f t="shared" si="9"/>
        <v>无效</v>
      </c>
      <c r="S8" s="86" t="str">
        <f t="shared" si="10"/>
        <v/>
      </c>
      <c r="T8" s="87" t="str">
        <f t="shared" si="11"/>
        <v/>
      </c>
      <c r="V8" s="84" t="s">
        <v>22</v>
      </c>
      <c r="W8" s="84">
        <f>COUNTIF(E4:E34,"&gt;150")</f>
        <v>0</v>
      </c>
      <c r="X8" s="84">
        <f>COUNTIF(F4:F34,"&gt;80")</f>
        <v>0</v>
      </c>
      <c r="Y8" s="84">
        <f>COUNTIF(G4:G34,"&gt;150")</f>
        <v>0</v>
      </c>
      <c r="Z8" s="84">
        <f>COUNTIF(H4:H34,"&gt;4")</f>
        <v>0</v>
      </c>
      <c r="AA8" s="84">
        <f>COUNTIF(I4:I34,"&gt;160")</f>
        <v>0</v>
      </c>
      <c r="AB8" s="84">
        <f>COUNTIF(J4:J34,"&gt;75")</f>
        <v>0</v>
      </c>
      <c r="AE8" s="32"/>
      <c r="AF8" s="32"/>
      <c r="AG8" s="32"/>
      <c r="AH8" s="32"/>
      <c r="AI8" s="32"/>
      <c r="AJ8" s="32"/>
      <c r="AK8" s="32"/>
      <c r="AL8" s="32"/>
      <c r="AM8" s="32"/>
    </row>
    <row r="9" ht="14.1" customHeight="1" spans="1:39">
      <c r="A9" s="54" t="str">
        <f t="shared" si="1"/>
        <v>对照点</v>
      </c>
      <c r="B9" s="55">
        <f t="shared" si="13"/>
        <v>2017</v>
      </c>
      <c r="C9" s="55">
        <f t="shared" si="14"/>
        <v>6</v>
      </c>
      <c r="D9" s="56">
        <v>6</v>
      </c>
      <c r="E9" s="57"/>
      <c r="F9" s="58"/>
      <c r="G9" s="58"/>
      <c r="H9" s="58"/>
      <c r="I9" s="58"/>
      <c r="J9" s="75"/>
      <c r="K9" s="72" t="str">
        <f t="shared" si="2"/>
        <v/>
      </c>
      <c r="L9" s="73" t="str">
        <f t="shared" si="3"/>
        <v/>
      </c>
      <c r="M9" s="73" t="str">
        <f t="shared" si="4"/>
        <v/>
      </c>
      <c r="N9" s="73" t="str">
        <f t="shared" si="5"/>
        <v/>
      </c>
      <c r="O9" s="73" t="str">
        <f t="shared" si="6"/>
        <v/>
      </c>
      <c r="P9" s="74" t="str">
        <f t="shared" si="7"/>
        <v/>
      </c>
      <c r="Q9" s="85">
        <f t="shared" si="8"/>
        <v>0</v>
      </c>
      <c r="R9" s="86" t="str">
        <f t="shared" si="9"/>
        <v>无效</v>
      </c>
      <c r="S9" s="86" t="str">
        <f t="shared" si="10"/>
        <v/>
      </c>
      <c r="T9" s="87" t="str">
        <f t="shared" si="11"/>
        <v/>
      </c>
      <c r="V9" s="84" t="s">
        <v>23</v>
      </c>
      <c r="W9" s="88" t="e">
        <f>W8/W7</f>
        <v>#DIV/0!</v>
      </c>
      <c r="X9" s="88" t="e">
        <f t="shared" ref="X9:AB9" si="17">X8/X7</f>
        <v>#DIV/0!</v>
      </c>
      <c r="Y9" s="88" t="e">
        <f t="shared" si="17"/>
        <v>#DIV/0!</v>
      </c>
      <c r="Z9" s="88" t="e">
        <f t="shared" si="17"/>
        <v>#DIV/0!</v>
      </c>
      <c r="AA9" s="88" t="e">
        <f t="shared" si="17"/>
        <v>#DIV/0!</v>
      </c>
      <c r="AB9" s="88" t="e">
        <f t="shared" si="17"/>
        <v>#DIV/0!</v>
      </c>
      <c r="AE9" s="32"/>
      <c r="AF9" s="32"/>
      <c r="AG9" s="32"/>
      <c r="AH9" s="32"/>
      <c r="AI9" s="32"/>
      <c r="AJ9" s="32"/>
      <c r="AK9" s="32"/>
      <c r="AL9" s="32"/>
      <c r="AM9" s="32"/>
    </row>
    <row r="10" ht="14.1" customHeight="1" spans="1:28">
      <c r="A10" s="54" t="str">
        <f t="shared" si="1"/>
        <v>对照点</v>
      </c>
      <c r="B10" s="55">
        <f t="shared" si="13"/>
        <v>2017</v>
      </c>
      <c r="C10" s="55">
        <f t="shared" si="14"/>
        <v>6</v>
      </c>
      <c r="D10" s="51">
        <v>7</v>
      </c>
      <c r="E10" s="57"/>
      <c r="F10" s="58"/>
      <c r="G10" s="58"/>
      <c r="H10" s="58"/>
      <c r="I10" s="58"/>
      <c r="J10" s="75"/>
      <c r="K10" s="72" t="str">
        <f t="shared" si="2"/>
        <v/>
      </c>
      <c r="L10" s="73" t="str">
        <f t="shared" si="3"/>
        <v/>
      </c>
      <c r="M10" s="73" t="str">
        <f t="shared" si="4"/>
        <v/>
      </c>
      <c r="N10" s="73" t="str">
        <f t="shared" si="5"/>
        <v/>
      </c>
      <c r="O10" s="73" t="str">
        <f t="shared" si="6"/>
        <v/>
      </c>
      <c r="P10" s="74" t="str">
        <f t="shared" si="7"/>
        <v/>
      </c>
      <c r="Q10" s="85">
        <f t="shared" si="8"/>
        <v>0</v>
      </c>
      <c r="R10" s="86" t="str">
        <f t="shared" si="9"/>
        <v>无效</v>
      </c>
      <c r="S10" s="86" t="str">
        <f t="shared" si="10"/>
        <v/>
      </c>
      <c r="T10" s="87" t="str">
        <f t="shared" si="11"/>
        <v/>
      </c>
      <c r="V10" s="84"/>
      <c r="W10" s="84"/>
      <c r="X10" s="84"/>
      <c r="Y10" s="84"/>
      <c r="Z10" s="84"/>
      <c r="AA10" s="84"/>
      <c r="AB10" s="84"/>
    </row>
    <row r="11" ht="14.1" customHeight="1" spans="1:28">
      <c r="A11" s="54" t="str">
        <f t="shared" si="1"/>
        <v>对照点</v>
      </c>
      <c r="B11" s="55">
        <f t="shared" si="13"/>
        <v>2017</v>
      </c>
      <c r="C11" s="55">
        <f t="shared" si="14"/>
        <v>6</v>
      </c>
      <c r="D11" s="56">
        <v>8</v>
      </c>
      <c r="E11" s="57"/>
      <c r="F11" s="58"/>
      <c r="G11" s="58"/>
      <c r="H11" s="58"/>
      <c r="I11" s="58"/>
      <c r="J11" s="75"/>
      <c r="K11" s="72" t="str">
        <f t="shared" si="2"/>
        <v/>
      </c>
      <c r="L11" s="73" t="str">
        <f t="shared" si="3"/>
        <v/>
      </c>
      <c r="M11" s="73" t="str">
        <f t="shared" si="4"/>
        <v/>
      </c>
      <c r="N11" s="73" t="str">
        <f t="shared" si="5"/>
        <v/>
      </c>
      <c r="O11" s="73" t="str">
        <f t="shared" si="6"/>
        <v/>
      </c>
      <c r="P11" s="74" t="str">
        <f t="shared" si="7"/>
        <v/>
      </c>
      <c r="Q11" s="85">
        <f t="shared" si="8"/>
        <v>0</v>
      </c>
      <c r="R11" s="86" t="str">
        <f t="shared" si="9"/>
        <v>无效</v>
      </c>
      <c r="S11" s="86" t="str">
        <f t="shared" si="10"/>
        <v/>
      </c>
      <c r="T11" s="87" t="str">
        <f t="shared" si="11"/>
        <v/>
      </c>
      <c r="V11" s="84" t="s">
        <v>24</v>
      </c>
      <c r="W11" s="84" t="s">
        <v>25</v>
      </c>
      <c r="X11" s="84" t="s">
        <v>26</v>
      </c>
      <c r="Y11" s="84" t="s">
        <v>27</v>
      </c>
      <c r="Z11" s="84" t="s">
        <v>28</v>
      </c>
      <c r="AA11" s="84" t="s">
        <v>29</v>
      </c>
      <c r="AB11" s="84" t="s">
        <v>30</v>
      </c>
    </row>
    <row r="12" ht="14.1" customHeight="1" spans="1:28">
      <c r="A12" s="54" t="str">
        <f t="shared" si="1"/>
        <v>对照点</v>
      </c>
      <c r="B12" s="55">
        <f t="shared" si="13"/>
        <v>2017</v>
      </c>
      <c r="C12" s="55">
        <f t="shared" si="14"/>
        <v>6</v>
      </c>
      <c r="D12" s="56">
        <v>9</v>
      </c>
      <c r="E12" s="57"/>
      <c r="F12" s="58"/>
      <c r="G12" s="58"/>
      <c r="H12" s="58"/>
      <c r="I12" s="58"/>
      <c r="J12" s="75"/>
      <c r="K12" s="72" t="str">
        <f t="shared" si="2"/>
        <v/>
      </c>
      <c r="L12" s="73" t="str">
        <f t="shared" si="3"/>
        <v/>
      </c>
      <c r="M12" s="73" t="str">
        <f t="shared" si="4"/>
        <v/>
      </c>
      <c r="N12" s="73" t="str">
        <f t="shared" si="5"/>
        <v/>
      </c>
      <c r="O12" s="73" t="str">
        <f t="shared" si="6"/>
        <v/>
      </c>
      <c r="P12" s="74" t="str">
        <f t="shared" si="7"/>
        <v/>
      </c>
      <c r="Q12" s="85">
        <f t="shared" si="8"/>
        <v>0</v>
      </c>
      <c r="R12" s="86" t="str">
        <f t="shared" si="9"/>
        <v>无效</v>
      </c>
      <c r="S12" s="86" t="str">
        <f t="shared" si="10"/>
        <v/>
      </c>
      <c r="T12" s="87" t="str">
        <f t="shared" si="11"/>
        <v/>
      </c>
      <c r="V12" s="84">
        <f>COUNT(Q4:Q34)</f>
        <v>30</v>
      </c>
      <c r="W12" s="84">
        <f>COUNTIF(R4:R34,"优")</f>
        <v>0</v>
      </c>
      <c r="X12" s="84">
        <f>COUNTIF(R4:R34,"良")</f>
        <v>0</v>
      </c>
      <c r="Y12" s="84">
        <f>COUNTIF(R4:R34,"轻度污染")</f>
        <v>0</v>
      </c>
      <c r="Z12" s="84">
        <f>COUNTIF(R4:R34,"中度污染")</f>
        <v>0</v>
      </c>
      <c r="AA12" s="84">
        <f>COUNTIF(R4:R34,"重度污染")</f>
        <v>0</v>
      </c>
      <c r="AB12" s="84">
        <f>COUNTIF(R4:R34,"严重污染")</f>
        <v>0</v>
      </c>
    </row>
    <row r="13" ht="14.1" customHeight="1" spans="1:28">
      <c r="A13" s="54" t="str">
        <f t="shared" si="1"/>
        <v>对照点</v>
      </c>
      <c r="B13" s="55">
        <f t="shared" si="13"/>
        <v>2017</v>
      </c>
      <c r="C13" s="55">
        <f t="shared" si="14"/>
        <v>6</v>
      </c>
      <c r="D13" s="56">
        <v>10</v>
      </c>
      <c r="E13" s="57"/>
      <c r="F13" s="58"/>
      <c r="G13" s="58"/>
      <c r="H13" s="58"/>
      <c r="I13" s="76"/>
      <c r="J13" s="75"/>
      <c r="K13" s="72" t="str">
        <f t="shared" si="2"/>
        <v/>
      </c>
      <c r="L13" s="73" t="str">
        <f t="shared" si="3"/>
        <v/>
      </c>
      <c r="M13" s="73" t="str">
        <f t="shared" si="4"/>
        <v/>
      </c>
      <c r="N13" s="73" t="str">
        <f t="shared" si="5"/>
        <v/>
      </c>
      <c r="O13" s="73" t="str">
        <f t="shared" si="6"/>
        <v/>
      </c>
      <c r="P13" s="74" t="str">
        <f t="shared" si="7"/>
        <v/>
      </c>
      <c r="Q13" s="85">
        <f t="shared" si="8"/>
        <v>0</v>
      </c>
      <c r="R13" s="86" t="str">
        <f t="shared" si="9"/>
        <v>无效</v>
      </c>
      <c r="S13" s="86" t="str">
        <f t="shared" si="10"/>
        <v/>
      </c>
      <c r="T13" s="87" t="str">
        <f t="shared" si="11"/>
        <v/>
      </c>
      <c r="V13" s="84"/>
      <c r="W13" s="84"/>
      <c r="X13" s="84"/>
      <c r="Y13" s="84"/>
      <c r="Z13" s="84"/>
      <c r="AA13" s="84"/>
      <c r="AB13" s="84"/>
    </row>
    <row r="14" ht="14.1" customHeight="1" spans="1:28">
      <c r="A14" s="54" t="str">
        <f t="shared" si="1"/>
        <v>对照点</v>
      </c>
      <c r="B14" s="55">
        <f t="shared" si="13"/>
        <v>2017</v>
      </c>
      <c r="C14" s="55">
        <f t="shared" si="14"/>
        <v>6</v>
      </c>
      <c r="D14" s="56">
        <v>11</v>
      </c>
      <c r="E14" s="57"/>
      <c r="F14" s="58"/>
      <c r="G14" s="58"/>
      <c r="H14" s="58"/>
      <c r="I14" s="76"/>
      <c r="J14" s="75"/>
      <c r="K14" s="72" t="str">
        <f t="shared" si="2"/>
        <v/>
      </c>
      <c r="L14" s="73" t="str">
        <f t="shared" si="3"/>
        <v/>
      </c>
      <c r="M14" s="73" t="str">
        <f t="shared" si="4"/>
        <v/>
      </c>
      <c r="N14" s="73" t="str">
        <f t="shared" si="5"/>
        <v/>
      </c>
      <c r="O14" s="73" t="str">
        <f t="shared" si="6"/>
        <v/>
      </c>
      <c r="P14" s="74" t="str">
        <f t="shared" si="7"/>
        <v/>
      </c>
      <c r="Q14" s="85">
        <f t="shared" si="8"/>
        <v>0</v>
      </c>
      <c r="R14" s="86" t="str">
        <f t="shared" si="9"/>
        <v>无效</v>
      </c>
      <c r="S14" s="86" t="str">
        <f t="shared" si="10"/>
        <v/>
      </c>
      <c r="T14" s="87" t="str">
        <f t="shared" si="11"/>
        <v/>
      </c>
      <c r="V14" s="84" t="s">
        <v>31</v>
      </c>
      <c r="W14" s="84" t="s">
        <v>32</v>
      </c>
      <c r="X14" s="84" t="s">
        <v>33</v>
      </c>
      <c r="Y14" s="84" t="s">
        <v>34</v>
      </c>
      <c r="Z14" s="84"/>
      <c r="AA14" s="84"/>
      <c r="AB14" s="84"/>
    </row>
    <row r="15" ht="14.1" customHeight="1" spans="1:28">
      <c r="A15" s="54" t="str">
        <f t="shared" si="1"/>
        <v>对照点</v>
      </c>
      <c r="B15" s="55">
        <f t="shared" si="13"/>
        <v>2017</v>
      </c>
      <c r="C15" s="55">
        <f t="shared" si="14"/>
        <v>6</v>
      </c>
      <c r="D15" s="56">
        <v>12</v>
      </c>
      <c r="E15" s="57"/>
      <c r="F15" s="58"/>
      <c r="G15" s="58"/>
      <c r="H15" s="58"/>
      <c r="I15" s="58"/>
      <c r="J15" s="75"/>
      <c r="K15" s="72" t="str">
        <f t="shared" si="2"/>
        <v/>
      </c>
      <c r="L15" s="73" t="str">
        <f t="shared" si="3"/>
        <v/>
      </c>
      <c r="M15" s="73" t="str">
        <f t="shared" si="4"/>
        <v/>
      </c>
      <c r="N15" s="73" t="str">
        <f t="shared" si="5"/>
        <v/>
      </c>
      <c r="O15" s="73" t="str">
        <f t="shared" si="6"/>
        <v/>
      </c>
      <c r="P15" s="74" t="str">
        <f t="shared" si="7"/>
        <v/>
      </c>
      <c r="Q15" s="85">
        <f t="shared" si="8"/>
        <v>0</v>
      </c>
      <c r="R15" s="86" t="str">
        <f t="shared" si="9"/>
        <v>无效</v>
      </c>
      <c r="S15" s="86" t="str">
        <f t="shared" si="10"/>
        <v/>
      </c>
      <c r="T15" s="87" t="str">
        <f t="shared" si="11"/>
        <v/>
      </c>
      <c r="V15" s="84">
        <f>SUM(W12:AB12)</f>
        <v>0</v>
      </c>
      <c r="W15" s="84">
        <f>COUNTIF(R4:R34,"无效")</f>
        <v>30</v>
      </c>
      <c r="X15" s="88" t="e">
        <f>(W12+X12)/SUM(W12:AB12)</f>
        <v>#DIV/0!</v>
      </c>
      <c r="Y15" s="84" t="str">
        <f>IF(AND(C4=2,SUM(W12:AB12)&gt;=25),"是",IF(SUM(W12:AB12)&gt;=27,"是","否"))</f>
        <v>否</v>
      </c>
      <c r="Z15" s="84"/>
      <c r="AA15" s="84"/>
      <c r="AB15" s="84"/>
    </row>
    <row r="16" ht="14.1" customHeight="1" spans="1:20">
      <c r="A16" s="54" t="str">
        <f t="shared" si="1"/>
        <v>对照点</v>
      </c>
      <c r="B16" s="55">
        <f t="shared" si="13"/>
        <v>2017</v>
      </c>
      <c r="C16" s="55">
        <f t="shared" si="14"/>
        <v>6</v>
      </c>
      <c r="D16" s="51">
        <v>13</v>
      </c>
      <c r="E16" s="57"/>
      <c r="F16" s="58"/>
      <c r="G16" s="58"/>
      <c r="H16" s="58"/>
      <c r="I16" s="58"/>
      <c r="J16" s="75"/>
      <c r="K16" s="72" t="str">
        <f t="shared" si="2"/>
        <v/>
      </c>
      <c r="L16" s="73" t="str">
        <f t="shared" si="3"/>
        <v/>
      </c>
      <c r="M16" s="73" t="str">
        <f t="shared" si="4"/>
        <v/>
      </c>
      <c r="N16" s="73" t="str">
        <f t="shared" si="5"/>
        <v/>
      </c>
      <c r="O16" s="73" t="str">
        <f t="shared" si="6"/>
        <v/>
      </c>
      <c r="P16" s="74" t="str">
        <f t="shared" si="7"/>
        <v/>
      </c>
      <c r="Q16" s="85">
        <f t="shared" si="8"/>
        <v>0</v>
      </c>
      <c r="R16" s="86" t="str">
        <f t="shared" si="9"/>
        <v>无效</v>
      </c>
      <c r="S16" s="86" t="str">
        <f t="shared" si="10"/>
        <v/>
      </c>
      <c r="T16" s="87" t="str">
        <f t="shared" si="11"/>
        <v/>
      </c>
    </row>
    <row r="17" ht="14.1" customHeight="1" spans="1:20">
      <c r="A17" s="54" t="str">
        <f t="shared" si="1"/>
        <v>对照点</v>
      </c>
      <c r="B17" s="55">
        <f t="shared" si="13"/>
        <v>2017</v>
      </c>
      <c r="C17" s="55">
        <f t="shared" si="14"/>
        <v>6</v>
      </c>
      <c r="D17" s="56">
        <v>14</v>
      </c>
      <c r="E17" s="57"/>
      <c r="F17" s="58"/>
      <c r="G17" s="58"/>
      <c r="H17" s="58"/>
      <c r="I17" s="58"/>
      <c r="J17" s="75"/>
      <c r="K17" s="72" t="str">
        <f t="shared" si="2"/>
        <v/>
      </c>
      <c r="L17" s="73" t="str">
        <f t="shared" si="3"/>
        <v/>
      </c>
      <c r="M17" s="73" t="str">
        <f t="shared" si="4"/>
        <v/>
      </c>
      <c r="N17" s="73" t="str">
        <f t="shared" si="5"/>
        <v/>
      </c>
      <c r="O17" s="73" t="str">
        <f t="shared" si="6"/>
        <v/>
      </c>
      <c r="P17" s="74" t="str">
        <f t="shared" si="7"/>
        <v/>
      </c>
      <c r="Q17" s="85">
        <f t="shared" si="8"/>
        <v>0</v>
      </c>
      <c r="R17" s="86" t="str">
        <f t="shared" si="9"/>
        <v>无效</v>
      </c>
      <c r="S17" s="86" t="str">
        <f t="shared" si="10"/>
        <v/>
      </c>
      <c r="T17" s="87" t="str">
        <f t="shared" si="11"/>
        <v/>
      </c>
    </row>
    <row r="18" ht="14.1" customHeight="1" spans="1:20">
      <c r="A18" s="54" t="str">
        <f t="shared" si="1"/>
        <v>对照点</v>
      </c>
      <c r="B18" s="55">
        <f t="shared" si="13"/>
        <v>2017</v>
      </c>
      <c r="C18" s="55">
        <f t="shared" si="14"/>
        <v>6</v>
      </c>
      <c r="D18" s="56">
        <v>15</v>
      </c>
      <c r="E18" s="57"/>
      <c r="F18" s="58"/>
      <c r="G18" s="58"/>
      <c r="H18" s="58"/>
      <c r="I18" s="58"/>
      <c r="J18" s="75"/>
      <c r="K18" s="72" t="str">
        <f t="shared" si="2"/>
        <v/>
      </c>
      <c r="L18" s="73" t="str">
        <f t="shared" si="3"/>
        <v/>
      </c>
      <c r="M18" s="73" t="str">
        <f t="shared" si="4"/>
        <v/>
      </c>
      <c r="N18" s="73" t="str">
        <f t="shared" si="5"/>
        <v/>
      </c>
      <c r="O18" s="73" t="str">
        <f t="shared" si="6"/>
        <v/>
      </c>
      <c r="P18" s="74" t="str">
        <f t="shared" si="7"/>
        <v/>
      </c>
      <c r="Q18" s="85">
        <f t="shared" si="8"/>
        <v>0</v>
      </c>
      <c r="R18" s="86" t="str">
        <f t="shared" si="9"/>
        <v>无效</v>
      </c>
      <c r="S18" s="86" t="str">
        <f t="shared" si="10"/>
        <v/>
      </c>
      <c r="T18" s="87" t="str">
        <f t="shared" si="11"/>
        <v/>
      </c>
    </row>
    <row r="19" ht="14.1" customHeight="1" spans="1:20">
      <c r="A19" s="54" t="str">
        <f t="shared" si="1"/>
        <v>对照点</v>
      </c>
      <c r="B19" s="55">
        <f t="shared" si="13"/>
        <v>2017</v>
      </c>
      <c r="C19" s="55">
        <f t="shared" si="14"/>
        <v>6</v>
      </c>
      <c r="D19" s="56">
        <v>16</v>
      </c>
      <c r="E19" s="57"/>
      <c r="F19" s="58"/>
      <c r="G19" s="58"/>
      <c r="H19" s="58"/>
      <c r="I19" s="58"/>
      <c r="J19" s="75"/>
      <c r="K19" s="72" t="str">
        <f t="shared" si="2"/>
        <v/>
      </c>
      <c r="L19" s="73" t="str">
        <f t="shared" si="3"/>
        <v/>
      </c>
      <c r="M19" s="73" t="str">
        <f t="shared" si="4"/>
        <v/>
      </c>
      <c r="N19" s="73" t="str">
        <f t="shared" si="5"/>
        <v/>
      </c>
      <c r="O19" s="73" t="str">
        <f t="shared" si="6"/>
        <v/>
      </c>
      <c r="P19" s="74" t="str">
        <f t="shared" si="7"/>
        <v/>
      </c>
      <c r="Q19" s="85">
        <f t="shared" si="8"/>
        <v>0</v>
      </c>
      <c r="R19" s="86" t="str">
        <f t="shared" si="9"/>
        <v>无效</v>
      </c>
      <c r="S19" s="86" t="str">
        <f t="shared" si="10"/>
        <v/>
      </c>
      <c r="T19" s="87" t="str">
        <f t="shared" si="11"/>
        <v/>
      </c>
    </row>
    <row r="20" ht="14.1" customHeight="1" spans="1:20">
      <c r="A20" s="54" t="str">
        <f t="shared" si="1"/>
        <v>对照点</v>
      </c>
      <c r="B20" s="55">
        <f t="shared" si="13"/>
        <v>2017</v>
      </c>
      <c r="C20" s="55">
        <f t="shared" si="14"/>
        <v>6</v>
      </c>
      <c r="D20" s="56">
        <v>17</v>
      </c>
      <c r="E20" s="57"/>
      <c r="F20" s="58"/>
      <c r="G20" s="58"/>
      <c r="H20" s="58"/>
      <c r="I20" s="58"/>
      <c r="J20" s="75"/>
      <c r="K20" s="72" t="str">
        <f t="shared" si="2"/>
        <v/>
      </c>
      <c r="L20" s="73" t="str">
        <f t="shared" si="3"/>
        <v/>
      </c>
      <c r="M20" s="73" t="str">
        <f t="shared" si="4"/>
        <v/>
      </c>
      <c r="N20" s="73" t="str">
        <f t="shared" si="5"/>
        <v/>
      </c>
      <c r="O20" s="73" t="str">
        <f t="shared" si="6"/>
        <v/>
      </c>
      <c r="P20" s="74" t="str">
        <f t="shared" si="7"/>
        <v/>
      </c>
      <c r="Q20" s="85">
        <f t="shared" si="8"/>
        <v>0</v>
      </c>
      <c r="R20" s="86" t="str">
        <f t="shared" si="9"/>
        <v>无效</v>
      </c>
      <c r="S20" s="86" t="str">
        <f t="shared" si="10"/>
        <v/>
      </c>
      <c r="T20" s="87" t="str">
        <f t="shared" si="11"/>
        <v/>
      </c>
    </row>
    <row r="21" ht="14.1" customHeight="1" spans="1:20">
      <c r="A21" s="54" t="str">
        <f t="shared" si="1"/>
        <v>对照点</v>
      </c>
      <c r="B21" s="55">
        <f t="shared" si="13"/>
        <v>2017</v>
      </c>
      <c r="C21" s="55">
        <f t="shared" si="14"/>
        <v>6</v>
      </c>
      <c r="D21" s="56">
        <v>18</v>
      </c>
      <c r="E21" s="57"/>
      <c r="F21" s="58"/>
      <c r="G21" s="58"/>
      <c r="H21" s="58"/>
      <c r="I21" s="58"/>
      <c r="J21" s="75"/>
      <c r="K21" s="72" t="str">
        <f t="shared" si="2"/>
        <v/>
      </c>
      <c r="L21" s="73" t="str">
        <f t="shared" si="3"/>
        <v/>
      </c>
      <c r="M21" s="73" t="str">
        <f t="shared" si="4"/>
        <v/>
      </c>
      <c r="N21" s="73" t="str">
        <f t="shared" si="5"/>
        <v/>
      </c>
      <c r="O21" s="73" t="str">
        <f t="shared" si="6"/>
        <v/>
      </c>
      <c r="P21" s="74" t="str">
        <f t="shared" si="7"/>
        <v/>
      </c>
      <c r="Q21" s="85">
        <f t="shared" si="8"/>
        <v>0</v>
      </c>
      <c r="R21" s="86" t="str">
        <f t="shared" si="9"/>
        <v>无效</v>
      </c>
      <c r="S21" s="86" t="str">
        <f t="shared" si="10"/>
        <v/>
      </c>
      <c r="T21" s="87" t="str">
        <f t="shared" si="11"/>
        <v/>
      </c>
    </row>
    <row r="22" ht="14.1" customHeight="1" spans="1:20">
      <c r="A22" s="54" t="str">
        <f t="shared" si="1"/>
        <v>对照点</v>
      </c>
      <c r="B22" s="55">
        <f t="shared" si="13"/>
        <v>2017</v>
      </c>
      <c r="C22" s="55">
        <f t="shared" si="14"/>
        <v>6</v>
      </c>
      <c r="D22" s="51">
        <v>19</v>
      </c>
      <c r="E22" s="57"/>
      <c r="F22" s="58"/>
      <c r="G22" s="58"/>
      <c r="H22" s="58"/>
      <c r="I22" s="58"/>
      <c r="J22" s="75"/>
      <c r="K22" s="72" t="str">
        <f t="shared" si="2"/>
        <v/>
      </c>
      <c r="L22" s="73" t="str">
        <f t="shared" si="3"/>
        <v/>
      </c>
      <c r="M22" s="73" t="str">
        <f t="shared" si="4"/>
        <v/>
      </c>
      <c r="N22" s="73" t="str">
        <f t="shared" si="5"/>
        <v/>
      </c>
      <c r="O22" s="73" t="str">
        <f t="shared" si="6"/>
        <v/>
      </c>
      <c r="P22" s="74" t="str">
        <f t="shared" si="7"/>
        <v/>
      </c>
      <c r="Q22" s="85">
        <f t="shared" si="8"/>
        <v>0</v>
      </c>
      <c r="R22" s="86" t="str">
        <f t="shared" si="9"/>
        <v>无效</v>
      </c>
      <c r="S22" s="86" t="str">
        <f t="shared" si="10"/>
        <v/>
      </c>
      <c r="T22" s="87" t="str">
        <f t="shared" si="11"/>
        <v/>
      </c>
    </row>
    <row r="23" ht="14.1" customHeight="1" spans="1:20">
      <c r="A23" s="54" t="str">
        <f t="shared" si="1"/>
        <v>对照点</v>
      </c>
      <c r="B23" s="55">
        <f t="shared" si="13"/>
        <v>2017</v>
      </c>
      <c r="C23" s="55">
        <f t="shared" si="14"/>
        <v>6</v>
      </c>
      <c r="D23" s="56">
        <v>20</v>
      </c>
      <c r="E23" s="57"/>
      <c r="F23" s="58"/>
      <c r="G23" s="58"/>
      <c r="H23" s="58"/>
      <c r="I23" s="58"/>
      <c r="J23" s="75"/>
      <c r="K23" s="72" t="str">
        <f t="shared" si="2"/>
        <v/>
      </c>
      <c r="L23" s="73" t="str">
        <f t="shared" si="3"/>
        <v/>
      </c>
      <c r="M23" s="73" t="str">
        <f t="shared" si="4"/>
        <v/>
      </c>
      <c r="N23" s="73" t="str">
        <f t="shared" si="5"/>
        <v/>
      </c>
      <c r="O23" s="73" t="str">
        <f t="shared" si="6"/>
        <v/>
      </c>
      <c r="P23" s="74" t="str">
        <f t="shared" si="7"/>
        <v/>
      </c>
      <c r="Q23" s="85">
        <f t="shared" si="8"/>
        <v>0</v>
      </c>
      <c r="R23" s="86" t="str">
        <f t="shared" si="9"/>
        <v>无效</v>
      </c>
      <c r="S23" s="86" t="str">
        <f t="shared" si="10"/>
        <v/>
      </c>
      <c r="T23" s="87" t="str">
        <f t="shared" si="11"/>
        <v/>
      </c>
    </row>
    <row r="24" ht="14.1" customHeight="1" spans="1:20">
      <c r="A24" s="54" t="str">
        <f t="shared" si="1"/>
        <v>对照点</v>
      </c>
      <c r="B24" s="55">
        <f t="shared" si="13"/>
        <v>2017</v>
      </c>
      <c r="C24" s="55">
        <f t="shared" si="14"/>
        <v>6</v>
      </c>
      <c r="D24" s="56">
        <v>21</v>
      </c>
      <c r="E24" s="57"/>
      <c r="F24" s="58"/>
      <c r="G24" s="58"/>
      <c r="H24" s="58"/>
      <c r="I24" s="58"/>
      <c r="J24" s="75"/>
      <c r="K24" s="72" t="str">
        <f t="shared" si="2"/>
        <v/>
      </c>
      <c r="L24" s="73" t="str">
        <f t="shared" si="3"/>
        <v/>
      </c>
      <c r="M24" s="73" t="str">
        <f t="shared" si="4"/>
        <v/>
      </c>
      <c r="N24" s="73" t="str">
        <f t="shared" si="5"/>
        <v/>
      </c>
      <c r="O24" s="73" t="str">
        <f t="shared" si="6"/>
        <v/>
      </c>
      <c r="P24" s="74" t="str">
        <f t="shared" si="7"/>
        <v/>
      </c>
      <c r="Q24" s="85">
        <f t="shared" si="8"/>
        <v>0</v>
      </c>
      <c r="R24" s="86" t="str">
        <f t="shared" si="9"/>
        <v>无效</v>
      </c>
      <c r="S24" s="86" t="str">
        <f t="shared" si="10"/>
        <v/>
      </c>
      <c r="T24" s="87" t="str">
        <f t="shared" si="11"/>
        <v/>
      </c>
    </row>
    <row r="25" ht="14.1" customHeight="1" spans="1:20">
      <c r="A25" s="54" t="str">
        <f t="shared" si="1"/>
        <v>对照点</v>
      </c>
      <c r="B25" s="55">
        <f t="shared" si="13"/>
        <v>2017</v>
      </c>
      <c r="C25" s="55">
        <f t="shared" si="14"/>
        <v>6</v>
      </c>
      <c r="D25" s="56">
        <v>22</v>
      </c>
      <c r="E25" s="57"/>
      <c r="F25" s="58"/>
      <c r="G25" s="58"/>
      <c r="H25" s="58"/>
      <c r="I25" s="58"/>
      <c r="J25" s="75"/>
      <c r="K25" s="72" t="str">
        <f t="shared" si="2"/>
        <v/>
      </c>
      <c r="L25" s="73" t="str">
        <f t="shared" si="3"/>
        <v/>
      </c>
      <c r="M25" s="73" t="str">
        <f t="shared" si="4"/>
        <v/>
      </c>
      <c r="N25" s="73" t="str">
        <f t="shared" si="5"/>
        <v/>
      </c>
      <c r="O25" s="73" t="str">
        <f t="shared" si="6"/>
        <v/>
      </c>
      <c r="P25" s="74" t="str">
        <f t="shared" si="7"/>
        <v/>
      </c>
      <c r="Q25" s="85">
        <f t="shared" si="8"/>
        <v>0</v>
      </c>
      <c r="R25" s="86" t="str">
        <f t="shared" si="9"/>
        <v>无效</v>
      </c>
      <c r="S25" s="86" t="str">
        <f t="shared" si="10"/>
        <v/>
      </c>
      <c r="T25" s="87" t="str">
        <f t="shared" si="11"/>
        <v/>
      </c>
    </row>
    <row r="26" ht="14.1" customHeight="1" spans="1:20">
      <c r="A26" s="54" t="str">
        <f t="shared" si="1"/>
        <v>对照点</v>
      </c>
      <c r="B26" s="55">
        <f t="shared" si="13"/>
        <v>2017</v>
      </c>
      <c r="C26" s="55">
        <f t="shared" si="14"/>
        <v>6</v>
      </c>
      <c r="D26" s="56">
        <v>23</v>
      </c>
      <c r="E26" s="57"/>
      <c r="F26" s="58"/>
      <c r="G26" s="58"/>
      <c r="H26" s="58"/>
      <c r="I26" s="58"/>
      <c r="J26" s="75"/>
      <c r="K26" s="72" t="str">
        <f t="shared" si="2"/>
        <v/>
      </c>
      <c r="L26" s="73" t="str">
        <f t="shared" si="3"/>
        <v/>
      </c>
      <c r="M26" s="73" t="str">
        <f t="shared" si="4"/>
        <v/>
      </c>
      <c r="N26" s="73" t="str">
        <f t="shared" si="5"/>
        <v/>
      </c>
      <c r="O26" s="73" t="str">
        <f t="shared" si="6"/>
        <v/>
      </c>
      <c r="P26" s="74" t="str">
        <f t="shared" si="7"/>
        <v/>
      </c>
      <c r="Q26" s="85">
        <f t="shared" si="8"/>
        <v>0</v>
      </c>
      <c r="R26" s="86" t="str">
        <f t="shared" si="9"/>
        <v>无效</v>
      </c>
      <c r="S26" s="86" t="str">
        <f t="shared" si="10"/>
        <v/>
      </c>
      <c r="T26" s="87" t="str">
        <f t="shared" si="11"/>
        <v/>
      </c>
    </row>
    <row r="27" ht="14.1" customHeight="1" spans="1:20">
      <c r="A27" s="54" t="str">
        <f t="shared" si="1"/>
        <v>对照点</v>
      </c>
      <c r="B27" s="55">
        <f t="shared" si="13"/>
        <v>2017</v>
      </c>
      <c r="C27" s="55">
        <f t="shared" si="14"/>
        <v>6</v>
      </c>
      <c r="D27" s="56">
        <v>24</v>
      </c>
      <c r="E27" s="57"/>
      <c r="F27" s="58"/>
      <c r="G27" s="58"/>
      <c r="H27" s="58"/>
      <c r="I27" s="58"/>
      <c r="J27" s="75"/>
      <c r="K27" s="72" t="str">
        <f t="shared" si="2"/>
        <v/>
      </c>
      <c r="L27" s="73" t="str">
        <f t="shared" si="3"/>
        <v/>
      </c>
      <c r="M27" s="73" t="str">
        <f t="shared" si="4"/>
        <v/>
      </c>
      <c r="N27" s="73" t="str">
        <f t="shared" si="5"/>
        <v/>
      </c>
      <c r="O27" s="73" t="str">
        <f t="shared" si="6"/>
        <v/>
      </c>
      <c r="P27" s="74" t="str">
        <f t="shared" si="7"/>
        <v/>
      </c>
      <c r="Q27" s="85">
        <f t="shared" si="8"/>
        <v>0</v>
      </c>
      <c r="R27" s="86" t="str">
        <f t="shared" si="9"/>
        <v>无效</v>
      </c>
      <c r="S27" s="86" t="str">
        <f t="shared" si="10"/>
        <v/>
      </c>
      <c r="T27" s="87" t="str">
        <f t="shared" si="11"/>
        <v/>
      </c>
    </row>
    <row r="28" ht="14.1" customHeight="1" spans="1:20">
      <c r="A28" s="54" t="str">
        <f t="shared" si="1"/>
        <v>对照点</v>
      </c>
      <c r="B28" s="55">
        <f t="shared" si="13"/>
        <v>2017</v>
      </c>
      <c r="C28" s="55">
        <f t="shared" si="14"/>
        <v>6</v>
      </c>
      <c r="D28" s="51">
        <v>25</v>
      </c>
      <c r="E28" s="57"/>
      <c r="F28" s="58"/>
      <c r="G28" s="58"/>
      <c r="H28" s="58"/>
      <c r="I28" s="58"/>
      <c r="J28" s="75"/>
      <c r="K28" s="72" t="str">
        <f t="shared" si="2"/>
        <v/>
      </c>
      <c r="L28" s="73" t="str">
        <f t="shared" si="3"/>
        <v/>
      </c>
      <c r="M28" s="73" t="str">
        <f t="shared" si="4"/>
        <v/>
      </c>
      <c r="N28" s="73" t="str">
        <f t="shared" si="5"/>
        <v/>
      </c>
      <c r="O28" s="73" t="str">
        <f t="shared" si="6"/>
        <v/>
      </c>
      <c r="P28" s="74" t="str">
        <f t="shared" si="7"/>
        <v/>
      </c>
      <c r="Q28" s="85">
        <f t="shared" si="8"/>
        <v>0</v>
      </c>
      <c r="R28" s="86" t="str">
        <f t="shared" si="9"/>
        <v>无效</v>
      </c>
      <c r="S28" s="86" t="str">
        <f t="shared" si="10"/>
        <v/>
      </c>
      <c r="T28" s="87" t="str">
        <f t="shared" si="11"/>
        <v/>
      </c>
    </row>
    <row r="29" ht="14.1" customHeight="1" spans="1:20">
      <c r="A29" s="54" t="str">
        <f t="shared" si="1"/>
        <v>对照点</v>
      </c>
      <c r="B29" s="55">
        <f t="shared" si="13"/>
        <v>2017</v>
      </c>
      <c r="C29" s="55">
        <f t="shared" si="14"/>
        <v>6</v>
      </c>
      <c r="D29" s="56">
        <v>26</v>
      </c>
      <c r="E29" s="57"/>
      <c r="F29" s="58"/>
      <c r="G29" s="58"/>
      <c r="H29" s="58"/>
      <c r="I29" s="58"/>
      <c r="J29" s="75"/>
      <c r="K29" s="72" t="str">
        <f t="shared" si="2"/>
        <v/>
      </c>
      <c r="L29" s="73" t="str">
        <f t="shared" si="3"/>
        <v/>
      </c>
      <c r="M29" s="73" t="str">
        <f t="shared" si="4"/>
        <v/>
      </c>
      <c r="N29" s="73" t="str">
        <f t="shared" si="5"/>
        <v/>
      </c>
      <c r="O29" s="73" t="str">
        <f t="shared" si="6"/>
        <v/>
      </c>
      <c r="P29" s="74" t="str">
        <f t="shared" si="7"/>
        <v/>
      </c>
      <c r="Q29" s="85">
        <f t="shared" si="8"/>
        <v>0</v>
      </c>
      <c r="R29" s="86" t="str">
        <f t="shared" si="9"/>
        <v>无效</v>
      </c>
      <c r="S29" s="86" t="str">
        <f t="shared" si="10"/>
        <v/>
      </c>
      <c r="T29" s="87" t="str">
        <f t="shared" si="11"/>
        <v/>
      </c>
    </row>
    <row r="30" ht="14.1" customHeight="1" spans="1:20">
      <c r="A30" s="54" t="str">
        <f t="shared" si="1"/>
        <v>对照点</v>
      </c>
      <c r="B30" s="55">
        <f t="shared" si="13"/>
        <v>2017</v>
      </c>
      <c r="C30" s="55">
        <f t="shared" si="14"/>
        <v>6</v>
      </c>
      <c r="D30" s="56">
        <v>27</v>
      </c>
      <c r="E30" s="57"/>
      <c r="F30" s="58"/>
      <c r="G30" s="58"/>
      <c r="H30" s="58"/>
      <c r="I30" s="58"/>
      <c r="J30" s="75"/>
      <c r="K30" s="72" t="str">
        <f t="shared" si="2"/>
        <v/>
      </c>
      <c r="L30" s="73" t="str">
        <f t="shared" si="3"/>
        <v/>
      </c>
      <c r="M30" s="73" t="str">
        <f t="shared" si="4"/>
        <v/>
      </c>
      <c r="N30" s="73" t="str">
        <f t="shared" si="5"/>
        <v/>
      </c>
      <c r="O30" s="73" t="str">
        <f t="shared" si="6"/>
        <v/>
      </c>
      <c r="P30" s="74" t="str">
        <f t="shared" si="7"/>
        <v/>
      </c>
      <c r="Q30" s="85">
        <f t="shared" si="8"/>
        <v>0</v>
      </c>
      <c r="R30" s="86" t="str">
        <f t="shared" si="9"/>
        <v>无效</v>
      </c>
      <c r="S30" s="86" t="str">
        <f t="shared" si="10"/>
        <v/>
      </c>
      <c r="T30" s="87" t="str">
        <f t="shared" si="11"/>
        <v/>
      </c>
    </row>
    <row r="31" ht="14.1" customHeight="1" spans="1:20">
      <c r="A31" s="54" t="str">
        <f t="shared" si="1"/>
        <v>对照点</v>
      </c>
      <c r="B31" s="55">
        <f t="shared" si="13"/>
        <v>2017</v>
      </c>
      <c r="C31" s="55">
        <f t="shared" si="14"/>
        <v>6</v>
      </c>
      <c r="D31" s="56">
        <v>28</v>
      </c>
      <c r="E31" s="57"/>
      <c r="F31" s="58"/>
      <c r="G31" s="58"/>
      <c r="H31" s="58"/>
      <c r="I31" s="58"/>
      <c r="J31" s="75"/>
      <c r="K31" s="72" t="str">
        <f t="shared" si="2"/>
        <v/>
      </c>
      <c r="L31" s="73" t="str">
        <f t="shared" si="3"/>
        <v/>
      </c>
      <c r="M31" s="73" t="str">
        <f t="shared" si="4"/>
        <v/>
      </c>
      <c r="N31" s="73" t="str">
        <f t="shared" si="5"/>
        <v/>
      </c>
      <c r="O31" s="73" t="str">
        <f t="shared" si="6"/>
        <v/>
      </c>
      <c r="P31" s="74" t="str">
        <f t="shared" si="7"/>
        <v/>
      </c>
      <c r="Q31" s="85">
        <f t="shared" si="8"/>
        <v>0</v>
      </c>
      <c r="R31" s="86" t="str">
        <f t="shared" si="9"/>
        <v>无效</v>
      </c>
      <c r="S31" s="86" t="str">
        <f t="shared" si="10"/>
        <v/>
      </c>
      <c r="T31" s="87" t="str">
        <f t="shared" si="11"/>
        <v/>
      </c>
    </row>
    <row r="32" ht="14.1" customHeight="1" spans="1:20">
      <c r="A32" s="54" t="str">
        <f t="shared" si="1"/>
        <v>对照点</v>
      </c>
      <c r="B32" s="55">
        <f t="shared" si="13"/>
        <v>2017</v>
      </c>
      <c r="C32" s="55">
        <f t="shared" si="14"/>
        <v>6</v>
      </c>
      <c r="D32" s="56">
        <v>29</v>
      </c>
      <c r="E32" s="57"/>
      <c r="F32" s="58"/>
      <c r="G32" s="58"/>
      <c r="H32" s="58"/>
      <c r="I32" s="58"/>
      <c r="J32" s="75"/>
      <c r="K32" s="72" t="str">
        <f t="shared" si="2"/>
        <v/>
      </c>
      <c r="L32" s="73" t="str">
        <f t="shared" si="3"/>
        <v/>
      </c>
      <c r="M32" s="73" t="str">
        <f t="shared" si="4"/>
        <v/>
      </c>
      <c r="N32" s="73" t="str">
        <f t="shared" si="5"/>
        <v/>
      </c>
      <c r="O32" s="73" t="str">
        <f t="shared" si="6"/>
        <v/>
      </c>
      <c r="P32" s="74" t="str">
        <f t="shared" si="7"/>
        <v/>
      </c>
      <c r="Q32" s="85">
        <f t="shared" si="8"/>
        <v>0</v>
      </c>
      <c r="R32" s="86" t="str">
        <f t="shared" si="9"/>
        <v>无效</v>
      </c>
      <c r="S32" s="86" t="str">
        <f t="shared" si="10"/>
        <v/>
      </c>
      <c r="T32" s="87" t="str">
        <f t="shared" si="11"/>
        <v/>
      </c>
    </row>
    <row r="33" ht="14.1" customHeight="1" spans="1:20">
      <c r="A33" s="54" t="str">
        <f t="shared" si="1"/>
        <v>对照点</v>
      </c>
      <c r="B33" s="55">
        <f t="shared" si="13"/>
        <v>2017</v>
      </c>
      <c r="C33" s="55">
        <f t="shared" si="14"/>
        <v>6</v>
      </c>
      <c r="D33" s="56">
        <v>30</v>
      </c>
      <c r="E33" s="57"/>
      <c r="F33" s="58"/>
      <c r="G33" s="58"/>
      <c r="H33" s="58"/>
      <c r="I33" s="58"/>
      <c r="J33" s="75"/>
      <c r="K33" s="72" t="str">
        <f t="shared" si="2"/>
        <v/>
      </c>
      <c r="L33" s="73" t="str">
        <f t="shared" si="3"/>
        <v/>
      </c>
      <c r="M33" s="73" t="str">
        <f t="shared" si="4"/>
        <v/>
      </c>
      <c r="N33" s="73" t="str">
        <f t="shared" si="5"/>
        <v/>
      </c>
      <c r="O33" s="73" t="str">
        <f t="shared" si="6"/>
        <v/>
      </c>
      <c r="P33" s="74" t="str">
        <f t="shared" si="7"/>
        <v/>
      </c>
      <c r="Q33" s="85">
        <f t="shared" si="8"/>
        <v>0</v>
      </c>
      <c r="R33" s="86" t="str">
        <f t="shared" si="9"/>
        <v>无效</v>
      </c>
      <c r="S33" s="86" t="str">
        <f t="shared" si="10"/>
        <v/>
      </c>
      <c r="T33" s="87" t="str">
        <f t="shared" si="11"/>
        <v/>
      </c>
    </row>
    <row r="34" ht="14.1" customHeight="1" spans="1:20">
      <c r="A34" s="59" t="str">
        <f>IF(OR(C12=1,C12=3,C12=5,C12=7,C12=8,C12=10,C12=12),$A$4,"")</f>
        <v/>
      </c>
      <c r="B34" s="60" t="str">
        <f>IF(OR(C12=1,C12=3,C12=5,C12=7,C12=8,C12=10,C12=12),$B$4,"")</f>
        <v/>
      </c>
      <c r="C34" s="60" t="str">
        <f>IF(OR(C12=1,C12=3,C12=5,C12=7,C12=8,C12=10,C12=12),$C$4,"")</f>
        <v/>
      </c>
      <c r="D34" s="61" t="str">
        <f>IF(OR(C12=1,C12=3,C12=5,C12=7,C12=8,C12=10,C12=12),31,"")</f>
        <v/>
      </c>
      <c r="E34" s="62"/>
      <c r="F34" s="63"/>
      <c r="G34" s="63"/>
      <c r="H34" s="63"/>
      <c r="I34" s="63"/>
      <c r="J34" s="77"/>
      <c r="K34" s="72" t="str">
        <f t="shared" si="2"/>
        <v/>
      </c>
      <c r="L34" s="73" t="str">
        <f t="shared" si="3"/>
        <v/>
      </c>
      <c r="M34" s="73" t="str">
        <f t="shared" si="4"/>
        <v/>
      </c>
      <c r="N34" s="73" t="str">
        <f t="shared" si="5"/>
        <v/>
      </c>
      <c r="O34" s="73" t="str">
        <f t="shared" si="6"/>
        <v/>
      </c>
      <c r="P34" s="74" t="str">
        <f t="shared" si="7"/>
        <v/>
      </c>
      <c r="Q34" s="89" t="str">
        <f>IF(OR(C13=1,C13=3,C13=5,C13=7,C13=8,C13=10,C13=12),MAX(K34:P34),"")</f>
        <v/>
      </c>
      <c r="R34" s="90" t="str">
        <f>IF(OR(C13=1,C13=3,C13=5,C13=7,C13=8,C13=10,C13=12),IF(Q34&gt;100,IF((150-Q34&gt;=0),"轻度污染",IF((200-Q34&gt;=0),"中度污染",IF((300-Q34&gt;=0),"重度污染",IF((Q34&gt;300),"严重污染")))),IF(OR(K34="",L34="",M34="",N34="",O34="",P34=""),"无效",IF((50-Q34&gt;=0),"优",IF((100-Q34&gt;=0),"良")))),"")</f>
        <v/>
      </c>
      <c r="S34" s="90" t="str">
        <f>IF(Q34="","",IF(OR($C$4=1,$C$4=3,$C$4=5,$C$4=7,$C$4=8,$C$4=10,$C$4=12),IF(R34="无效","",INDEX($K$3:$P$3,MATCH(Q34,K34:P34,0))),""))</f>
        <v/>
      </c>
      <c r="T34" s="91" t="str">
        <f t="shared" si="11"/>
        <v/>
      </c>
    </row>
    <row r="35" ht="14.1" customHeight="1" spans="4:10">
      <c r="D35" s="64"/>
      <c r="E35" s="65"/>
      <c r="F35" s="65"/>
      <c r="G35" s="65"/>
      <c r="H35" s="65"/>
      <c r="I35" s="65"/>
      <c r="J35" s="65"/>
    </row>
    <row r="36" s="32" customFormat="1" ht="14.1" customHeight="1"/>
    <row r="37" s="32" customFormat="1" ht="14.1" customHeight="1"/>
    <row r="38" s="32" customFormat="1" ht="14.1" customHeight="1"/>
    <row r="39" s="32" customFormat="1" ht="14.1" customHeight="1"/>
    <row r="40" s="32" customFormat="1" ht="14.1" customHeight="1"/>
    <row r="41" s="32" customFormat="1" ht="14.1" customHeight="1"/>
  </sheetData>
  <sheetProtection password="DE74" sheet="1" formatCells="0" formatColumns="0" formatRows="0" objects="1" scenarios="1"/>
  <mergeCells count="11">
    <mergeCell ref="E1:J1"/>
    <mergeCell ref="E2:J2"/>
    <mergeCell ref="A1:A3"/>
    <mergeCell ref="B1:B3"/>
    <mergeCell ref="C1:C3"/>
    <mergeCell ref="D1:D3"/>
    <mergeCell ref="Q1:Q3"/>
    <mergeCell ref="R1:R3"/>
    <mergeCell ref="S1:S3"/>
    <mergeCell ref="T1:T3"/>
    <mergeCell ref="K1:P2"/>
  </mergeCells>
  <printOptions horizontalCentered="1" verticalCentered="1"/>
  <pageMargins left="0.511805555555556" right="0.313888888888889" top="0.747916666666667" bottom="0.55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workbookViewId="0">
      <selection activeCell="H37" sqref="H37"/>
    </sheetView>
  </sheetViews>
  <sheetFormatPr defaultColWidth="9" defaultRowHeight="13.5"/>
  <cols>
    <col min="1" max="1" width="8.75" style="1" customWidth="1"/>
    <col min="2" max="2" width="6.625" style="1" customWidth="1"/>
    <col min="3" max="3" width="5.375" style="1" customWidth="1"/>
    <col min="4" max="4" width="5.125" style="1" customWidth="1"/>
    <col min="5" max="15" width="6.625" style="1" customWidth="1"/>
    <col min="16" max="16" width="5.875" style="1" customWidth="1"/>
    <col min="17" max="17" width="7.875" style="1" customWidth="1"/>
    <col min="18" max="20" width="8.625" style="1" customWidth="1"/>
    <col min="21" max="21" width="3.625" style="1" customWidth="1"/>
    <col min="22" max="22" width="9" style="1"/>
    <col min="23" max="23" width="9.75" style="1" customWidth="1"/>
    <col min="24" max="28" width="9" style="1"/>
    <col min="29" max="29" width="10.25" style="1" customWidth="1"/>
    <col min="30" max="30" width="9.625" style="1" customWidth="1"/>
    <col min="31" max="16384" width="9" style="1"/>
  </cols>
  <sheetData>
    <row r="1" ht="18.75" customHeight="1" spans="1:20">
      <c r="A1" s="33" t="s">
        <v>35</v>
      </c>
      <c r="B1" s="34" t="s">
        <v>1</v>
      </c>
      <c r="C1" s="34" t="s">
        <v>2</v>
      </c>
      <c r="D1" s="35" t="s">
        <v>3</v>
      </c>
      <c r="E1" s="36" t="s">
        <v>4</v>
      </c>
      <c r="F1" s="37"/>
      <c r="G1" s="37"/>
      <c r="H1" s="37"/>
      <c r="I1" s="37"/>
      <c r="J1" s="66"/>
      <c r="K1" s="67" t="s">
        <v>5</v>
      </c>
      <c r="L1" s="34"/>
      <c r="M1" s="34"/>
      <c r="N1" s="34"/>
      <c r="O1" s="34"/>
      <c r="P1" s="35"/>
      <c r="Q1" s="33" t="s">
        <v>6</v>
      </c>
      <c r="R1" s="78" t="s">
        <v>7</v>
      </c>
      <c r="S1" s="78" t="s">
        <v>8</v>
      </c>
      <c r="T1" s="79" t="s">
        <v>9</v>
      </c>
    </row>
    <row r="2" ht="19.5" customHeight="1" spans="1:20">
      <c r="A2" s="38"/>
      <c r="B2" s="39"/>
      <c r="C2" s="39"/>
      <c r="D2" s="40"/>
      <c r="E2" s="41" t="s">
        <v>10</v>
      </c>
      <c r="F2" s="42"/>
      <c r="G2" s="42"/>
      <c r="H2" s="42"/>
      <c r="I2" s="42"/>
      <c r="J2" s="68"/>
      <c r="K2" s="69"/>
      <c r="L2" s="39"/>
      <c r="M2" s="39"/>
      <c r="N2" s="39"/>
      <c r="O2" s="39"/>
      <c r="P2" s="40"/>
      <c r="Q2" s="38"/>
      <c r="R2" s="80"/>
      <c r="S2" s="80"/>
      <c r="T2" s="81"/>
    </row>
    <row r="3" ht="25.5" customHeight="1" spans="1:28">
      <c r="A3" s="43"/>
      <c r="B3" s="44"/>
      <c r="C3" s="44"/>
      <c r="D3" s="45"/>
      <c r="E3" s="46" t="s">
        <v>11</v>
      </c>
      <c r="F3" s="47" t="s">
        <v>12</v>
      </c>
      <c r="G3" s="48" t="s">
        <v>13</v>
      </c>
      <c r="H3" s="48" t="s">
        <v>14</v>
      </c>
      <c r="I3" s="48" t="s">
        <v>15</v>
      </c>
      <c r="J3" s="70" t="s">
        <v>16</v>
      </c>
      <c r="K3" s="46" t="s">
        <v>11</v>
      </c>
      <c r="L3" s="47" t="s">
        <v>12</v>
      </c>
      <c r="M3" s="48" t="s">
        <v>13</v>
      </c>
      <c r="N3" s="48" t="s">
        <v>14</v>
      </c>
      <c r="O3" s="48" t="s">
        <v>15</v>
      </c>
      <c r="P3" s="70" t="s">
        <v>16</v>
      </c>
      <c r="Q3" s="43"/>
      <c r="R3" s="82"/>
      <c r="S3" s="82"/>
      <c r="T3" s="83"/>
      <c r="W3" s="46" t="s">
        <v>11</v>
      </c>
      <c r="X3" s="47" t="s">
        <v>12</v>
      </c>
      <c r="Y3" s="48" t="s">
        <v>13</v>
      </c>
      <c r="Z3" s="48" t="s">
        <v>14</v>
      </c>
      <c r="AA3" s="48" t="s">
        <v>15</v>
      </c>
      <c r="AB3" s="70" t="s">
        <v>16</v>
      </c>
    </row>
    <row r="4" ht="14.1" customHeight="1" spans="1:39">
      <c r="A4" s="54" t="s">
        <v>37</v>
      </c>
      <c r="B4" s="54">
        <v>2019</v>
      </c>
      <c r="C4" s="54">
        <v>7</v>
      </c>
      <c r="D4" s="51">
        <v>1</v>
      </c>
      <c r="E4" s="52">
        <v>5</v>
      </c>
      <c r="F4" s="53">
        <v>4</v>
      </c>
      <c r="G4" s="71">
        <v>37</v>
      </c>
      <c r="H4" s="53">
        <v>0.4</v>
      </c>
      <c r="I4" s="53">
        <v>69</v>
      </c>
      <c r="J4" s="71">
        <v>14</v>
      </c>
      <c r="K4" s="72">
        <f>IF(E4="","",ROUNDUP(IF((50-E4)&gt;=0,E4,IF((150-E4)&gt;=0,0.5*(E4-50)+50,IF((475-E4)&gt;=0,(50/325)*(E4-150)+100,IF((800-E4)&gt;=0,(50/325)*(E4-475)+150,IF((1600-E4)&gt;=0,(1/8)*(E4-800)+200,IF((2100-E4)&gt;=0,(1/5)*(E4-1600)+300,IF((2620-E4)&gt;=0,(10/52)*(E4-2100)+400,""))))))),0))</f>
        <v>5</v>
      </c>
      <c r="L4" s="73">
        <f>IF(F4="","",ROUNDUP(IF((40-F4)&gt;=0,(5/4)*F4,IF((80-F4)&gt;=0,(5/4)*(F4-40)+50,IF((180-F4)&gt;=0,(1/2)*(F4-80)+100,IF((280-F4)&gt;=0,(1/2)*(F4-180)+150,IF((565-F4)&gt;=0,(100/285)*(F4-280)+200,IF((750-F4)&gt;=0,(100/185)*(F4-565)+300,IF((940-F4)&gt;=0,(100/190)*(F4-750)+400,""))))))),0))</f>
        <v>5</v>
      </c>
      <c r="M4" s="73">
        <f>IF(G4="","",ROUNDUP(IF((50-G4)&gt;=0,G4,IF((150-G4)&gt;=0,0.5*(G4-50)+50,IF((250-G4)&gt;=0,0.5*(G4-150)+100,IF((350-G4)&gt;=0,0.5*(G4-250)+150,IF((420-G4)&gt;=0,(10/7)*(G4-350)+200,IF((500-G4)&gt;=0,(10/8)*(G4-420)+300,IF((600-G4)&gt;=0,(G4-500)+400,""))))))),0))</f>
        <v>37</v>
      </c>
      <c r="N4" s="73">
        <f>IF(H4="","",ROUNDUP(IF((2-H4)&gt;=0,25*H4,IF((4-H4)&gt;=0,25*(H4-2)+50,IF((14-H4)&gt;=0,5*(H4-4)+100,IF((24-H4)&gt;=0,5*(H4-14)+150,IF((36-H4)&gt;=0,(100/12)*(H4-24)+200,IF((48-H4)&gt;=0,(100/12)*(H4-36)+300,IF((60-H4)&gt;=0,(100/12)*(H4-48)+400,""))))))),0))</f>
        <v>10</v>
      </c>
      <c r="O4" s="73">
        <f>IF(I4="","",ROUNDUP(IF((100-I4)&gt;=0,0.5*I4,IF((160-I4)&gt;=0,(5/6)*(I4-100)+50,IF((215-I4)&gt;=0,(50/55)*(I4-160)+100,IF((265-I4)&gt;=0,(I4-215)+150,IF((800-I4)&gt;=0,(100/535)*(I4-265)+200,""))))),0))</f>
        <v>35</v>
      </c>
      <c r="P4" s="74">
        <f>IF(J4="","",ROUNDUP(IF((35-J4)&gt;=0,(50/35)*J4,IF((75-J4)&gt;=0,(5/4)*(J4-35)+50,IF((115-J4)&gt;=0,(5/4)*(J4-75)+100,IF((150-J4)&gt;=0,(50/35)*(J4-115)+150,IF((250-J4)&gt;=0,(J4-150)+200,IF((350-J4)&gt;=0,(J4-250)+300,IF((500-J4)&gt;=0,(10/15)*(J4-350)+400,""))))))),0))</f>
        <v>20</v>
      </c>
      <c r="Q4" s="72">
        <f>MAX(K4:P4)</f>
        <v>37</v>
      </c>
      <c r="R4" s="73" t="str">
        <f>IF(Q4&gt;100,IF((150-Q4&gt;=0),"轻度污染",IF((200-Q4&gt;=0),"中度污染",IF((300-Q4&gt;=0),"重度污染",IF((Q4&gt;300),"严重污染")))),IF(OR(K4="",L4="",M4="",N4="",O4="",P4=""),"无效",IF((50-Q4&gt;=0),"优",IF((100-Q4&gt;=0),"良"))))</f>
        <v>优</v>
      </c>
      <c r="S4" s="73" t="str">
        <f>IF(R4="无效","",INDEX($K$3:$P$3,MATCH(Q4,K4:P4,0)))</f>
        <v>PM10</v>
      </c>
      <c r="T4" s="74" t="str">
        <f>IF(Q4&gt;100,S4,"")</f>
        <v/>
      </c>
      <c r="V4" s="84" t="s">
        <v>18</v>
      </c>
      <c r="W4" s="84">
        <f>MIN(E4:E34)</f>
        <v>4</v>
      </c>
      <c r="X4" s="84">
        <f t="shared" ref="X4:AB4" si="0">MIN(F4:F34)</f>
        <v>3</v>
      </c>
      <c r="Y4" s="84">
        <f t="shared" si="0"/>
        <v>15</v>
      </c>
      <c r="Z4" s="84">
        <f t="shared" si="0"/>
        <v>0.4</v>
      </c>
      <c r="AA4" s="84">
        <f t="shared" si="0"/>
        <v>26</v>
      </c>
      <c r="AB4" s="84">
        <f t="shared" si="0"/>
        <v>2</v>
      </c>
      <c r="AM4" s="32"/>
    </row>
    <row r="5" ht="14.1" customHeight="1" spans="1:39">
      <c r="A5" s="54" t="str">
        <f t="shared" ref="A5:A33" si="1">$A$4</f>
        <v>会同二完小</v>
      </c>
      <c r="B5" s="55">
        <f>$B$4</f>
        <v>2019</v>
      </c>
      <c r="C5" s="55">
        <f>$C$4</f>
        <v>7</v>
      </c>
      <c r="D5" s="56">
        <v>2</v>
      </c>
      <c r="E5" s="57">
        <v>7</v>
      </c>
      <c r="F5" s="58">
        <v>5</v>
      </c>
      <c r="G5" s="75">
        <v>76</v>
      </c>
      <c r="H5" s="58">
        <v>0.4</v>
      </c>
      <c r="I5" s="58">
        <v>99</v>
      </c>
      <c r="J5" s="75">
        <v>30</v>
      </c>
      <c r="K5" s="72">
        <f t="shared" ref="K5:K34" si="2">IF(E5="","",ROUNDUP(IF((50-E5)&gt;=0,E5,IF((150-E5)&gt;=0,0.5*(E5-50)+50,IF((475-E5)&gt;=0,(50/325)*(E5-150)+100,IF((800-E5)&gt;=0,(50/325)*(E5-475)+150,IF((1600-E5)&gt;=0,(1/8)*(E5-800)+200,IF((2100-E5)&gt;=0,(1/5)*(E5-1600)+300,IF((2620-E5)&gt;=0,(10/52)*(E5-2100)+400,""))))))),0))</f>
        <v>7</v>
      </c>
      <c r="L5" s="73">
        <f t="shared" ref="L5:L34" si="3">IF(F5="","",ROUNDUP(IF((40-F5)&gt;=0,(5/4)*F5,IF((80-F5)&gt;=0,(5/4)*(F5-40)+50,IF((180-F5)&gt;=0,(1/2)*(F5-80)+100,IF((280-F5)&gt;=0,(1/2)*(F5-180)+150,IF((565-F5)&gt;=0,(100/285)*(F5-280)+200,IF((750-F5)&gt;=0,(100/185)*(F5-565)+300,IF((940-F5)&gt;=0,(100/190)*(F5-750)+400,""))))))),0))</f>
        <v>7</v>
      </c>
      <c r="M5" s="73">
        <f t="shared" ref="M5:M34" si="4">IF(G5="","",ROUNDUP(IF((50-G5)&gt;=0,G5,IF((150-G5)&gt;=0,0.5*(G5-50)+50,IF((250-G5)&gt;=0,0.5*(G5-150)+100,IF((350-G5)&gt;=0,0.5*(G5-250)+150,IF((420-G5)&gt;=0,(10/7)*(G5-350)+200,IF((500-G5)&gt;=0,(10/8)*(G5-420)+300,IF((600-G5)&gt;=0,(G5-500)+400,""))))))),0))</f>
        <v>63</v>
      </c>
      <c r="N5" s="73">
        <f t="shared" ref="N5:N34" si="5">IF(H5="","",ROUNDUP(IF((2-H5)&gt;=0,25*H5,IF((4-H5)&gt;=0,25*(H5-2)+50,IF((14-H5)&gt;=0,5*(H5-4)+100,IF((24-H5)&gt;=0,5*(H5-14)+150,IF((36-H5)&gt;=0,(100/12)*(H5-24)+200,IF((48-H5)&gt;=0,(100/12)*(H5-36)+300,IF((60-H5)&gt;=0,(100/12)*(H5-48)+400,""))))))),0))</f>
        <v>10</v>
      </c>
      <c r="O5" s="73">
        <f t="shared" ref="O5:O34" si="6">IF(I5="","",ROUNDUP(IF((100-I5)&gt;=0,0.5*I5,IF((160-I5)&gt;=0,(5/6)*(I5-100)+50,IF((215-I5)&gt;=0,(50/55)*(I5-160)+100,IF((265-I5)&gt;=0,(I5-215)+150,IF((800-I5)&gt;=0,(100/535)*(I5-265)+200,""))))),0))</f>
        <v>50</v>
      </c>
      <c r="P5" s="74">
        <f t="shared" ref="P5:P34" si="7">IF(J5="","",ROUNDUP(IF((35-J5)&gt;=0,(50/35)*J5,IF((75-J5)&gt;=0,(5/4)*(J5-35)+50,IF((115-J5)&gt;=0,(5/4)*(J5-75)+100,IF((150-J5)&gt;=0,(50/35)*(J5-115)+150,IF((250-J5)&gt;=0,(J5-150)+200,IF((350-J5)&gt;=0,(J5-250)+300,IF((500-J5)&gt;=0,(10/15)*(J5-350)+400,""))))))),0))</f>
        <v>43</v>
      </c>
      <c r="Q5" s="85">
        <f t="shared" ref="Q5:Q33" si="8">MAX(K5:P5)</f>
        <v>63</v>
      </c>
      <c r="R5" s="86" t="str">
        <f t="shared" ref="R5:R33" si="9">IF(Q5&gt;100,IF((150-Q5&gt;=0),"轻度污染",IF((200-Q5&gt;=0),"中度污染",IF((300-Q5&gt;=0),"重度污染",IF((Q5&gt;300),"严重污染")))),IF(OR(K5="",L5="",M5="",N5="",O5="",P5=""),"无效",IF((50-Q5&gt;=0),"优",IF((100-Q5&gt;=0),"良"))))</f>
        <v>良</v>
      </c>
      <c r="S5" s="86" t="str">
        <f t="shared" ref="S5:S33" si="10">IF(R5="无效","",INDEX($K$3:$P$3,MATCH(Q5,K5:P5,0)))</f>
        <v>PM10</v>
      </c>
      <c r="T5" s="87" t="str">
        <f t="shared" ref="T5:T34" si="11">IF(Q5&gt;100,S5,"")</f>
        <v/>
      </c>
      <c r="V5" s="84" t="s">
        <v>19</v>
      </c>
      <c r="W5" s="84">
        <f t="shared" ref="W5:AB5" si="12">MAX(E4:E34)</f>
        <v>13</v>
      </c>
      <c r="X5" s="84">
        <f t="shared" si="12"/>
        <v>7</v>
      </c>
      <c r="Y5" s="84">
        <f t="shared" si="12"/>
        <v>76</v>
      </c>
      <c r="Z5" s="84">
        <f t="shared" si="12"/>
        <v>0.9</v>
      </c>
      <c r="AA5" s="84">
        <f t="shared" si="12"/>
        <v>104</v>
      </c>
      <c r="AB5" s="84">
        <f t="shared" si="12"/>
        <v>34</v>
      </c>
      <c r="AM5" s="32"/>
    </row>
    <row r="6" ht="14.1" customHeight="1" spans="1:39">
      <c r="A6" s="54" t="str">
        <f t="shared" si="1"/>
        <v>会同二完小</v>
      </c>
      <c r="B6" s="55">
        <f t="shared" ref="B6:B33" si="13">$B$4</f>
        <v>2019</v>
      </c>
      <c r="C6" s="55">
        <f t="shared" ref="C6:C33" si="14">$C$4</f>
        <v>7</v>
      </c>
      <c r="D6" s="56">
        <v>3</v>
      </c>
      <c r="E6" s="57">
        <v>6</v>
      </c>
      <c r="F6" s="58">
        <v>7</v>
      </c>
      <c r="G6" s="75">
        <v>74</v>
      </c>
      <c r="H6" s="58">
        <v>0.5</v>
      </c>
      <c r="I6" s="58">
        <v>101</v>
      </c>
      <c r="J6" s="75">
        <v>33</v>
      </c>
      <c r="K6" s="72">
        <f t="shared" si="2"/>
        <v>6</v>
      </c>
      <c r="L6" s="73">
        <f t="shared" si="3"/>
        <v>9</v>
      </c>
      <c r="M6" s="73">
        <f t="shared" si="4"/>
        <v>62</v>
      </c>
      <c r="N6" s="73">
        <f t="shared" si="5"/>
        <v>13</v>
      </c>
      <c r="O6" s="73">
        <f t="shared" si="6"/>
        <v>51</v>
      </c>
      <c r="P6" s="74">
        <f t="shared" si="7"/>
        <v>48</v>
      </c>
      <c r="Q6" s="85">
        <f t="shared" si="8"/>
        <v>62</v>
      </c>
      <c r="R6" s="86" t="str">
        <f t="shared" si="9"/>
        <v>良</v>
      </c>
      <c r="S6" s="86" t="str">
        <f t="shared" si="10"/>
        <v>PM10</v>
      </c>
      <c r="T6" s="87" t="str">
        <f t="shared" si="11"/>
        <v/>
      </c>
      <c r="V6" s="84" t="s">
        <v>20</v>
      </c>
      <c r="W6" s="84">
        <f t="shared" ref="W6:Y6" si="15">ROUND(AVERAGE(E4:E34),0)-(MOD(AVERAGE(E4:E34),2)=0.5)</f>
        <v>7</v>
      </c>
      <c r="X6" s="84">
        <f t="shared" si="15"/>
        <v>5</v>
      </c>
      <c r="Y6" s="84">
        <f t="shared" si="15"/>
        <v>38</v>
      </c>
      <c r="Z6" s="84">
        <f>(ROUND(AVERAGE(H4:H34)*10,0)-(MOD(AVERAGE(H4:H34)*10,2)=0.5))/10</f>
        <v>0.6</v>
      </c>
      <c r="AA6" s="84">
        <f>ROUND(AVERAGE(I4:I34),0)-(MOD(AVERAGE(I4:I34),2)=0.5)</f>
        <v>62</v>
      </c>
      <c r="AB6" s="84">
        <f>ROUND(AVERAGE(J4:J34),0)-(MOD(AVERAGE(J4:J34),2)=0.5)</f>
        <v>18</v>
      </c>
      <c r="AE6" s="32"/>
      <c r="AF6" s="92"/>
      <c r="AG6" s="32"/>
      <c r="AH6" s="32"/>
      <c r="AI6" s="32"/>
      <c r="AJ6" s="32"/>
      <c r="AK6" s="32"/>
      <c r="AL6" s="32"/>
      <c r="AM6" s="32"/>
    </row>
    <row r="7" ht="14.1" customHeight="1" spans="1:39">
      <c r="A7" s="54" t="str">
        <f t="shared" si="1"/>
        <v>会同二完小</v>
      </c>
      <c r="B7" s="55">
        <f t="shared" si="13"/>
        <v>2019</v>
      </c>
      <c r="C7" s="55">
        <f t="shared" si="14"/>
        <v>7</v>
      </c>
      <c r="D7" s="56">
        <v>4</v>
      </c>
      <c r="E7" s="57">
        <v>5</v>
      </c>
      <c r="F7" s="58">
        <v>4</v>
      </c>
      <c r="G7" s="75">
        <v>59</v>
      </c>
      <c r="H7" s="93">
        <v>0.8</v>
      </c>
      <c r="I7" s="58">
        <v>60</v>
      </c>
      <c r="J7" s="75">
        <v>34</v>
      </c>
      <c r="K7" s="72">
        <f t="shared" si="2"/>
        <v>5</v>
      </c>
      <c r="L7" s="73">
        <f t="shared" si="3"/>
        <v>5</v>
      </c>
      <c r="M7" s="73">
        <f t="shared" si="4"/>
        <v>55</v>
      </c>
      <c r="N7" s="73">
        <f t="shared" si="5"/>
        <v>20</v>
      </c>
      <c r="O7" s="73">
        <f t="shared" si="6"/>
        <v>30</v>
      </c>
      <c r="P7" s="74">
        <f t="shared" si="7"/>
        <v>49</v>
      </c>
      <c r="Q7" s="85">
        <f t="shared" si="8"/>
        <v>55</v>
      </c>
      <c r="R7" s="86" t="str">
        <f t="shared" si="9"/>
        <v>良</v>
      </c>
      <c r="S7" s="86" t="str">
        <f t="shared" si="10"/>
        <v>PM10</v>
      </c>
      <c r="T7" s="87" t="str">
        <f t="shared" si="11"/>
        <v/>
      </c>
      <c r="V7" s="84" t="s">
        <v>21</v>
      </c>
      <c r="W7" s="84">
        <f>COUNT(E4:E34)</f>
        <v>31</v>
      </c>
      <c r="X7" s="84">
        <f t="shared" ref="X7:AB7" si="16">COUNT(F4:F34)</f>
        <v>31</v>
      </c>
      <c r="Y7" s="84">
        <f t="shared" si="16"/>
        <v>31</v>
      </c>
      <c r="Z7" s="84">
        <f t="shared" si="16"/>
        <v>31</v>
      </c>
      <c r="AA7" s="84">
        <f t="shared" si="16"/>
        <v>31</v>
      </c>
      <c r="AB7" s="84">
        <f t="shared" si="16"/>
        <v>31</v>
      </c>
      <c r="AE7" s="32"/>
      <c r="AF7" s="32"/>
      <c r="AG7" s="32"/>
      <c r="AH7" s="32"/>
      <c r="AI7" s="32"/>
      <c r="AJ7" s="32"/>
      <c r="AK7" s="32"/>
      <c r="AL7" s="32"/>
      <c r="AM7" s="32"/>
    </row>
    <row r="8" ht="14.1" customHeight="1" spans="1:39">
      <c r="A8" s="54" t="str">
        <f t="shared" si="1"/>
        <v>会同二完小</v>
      </c>
      <c r="B8" s="55">
        <f t="shared" si="13"/>
        <v>2019</v>
      </c>
      <c r="C8" s="55">
        <f t="shared" si="14"/>
        <v>7</v>
      </c>
      <c r="D8" s="56">
        <v>5</v>
      </c>
      <c r="E8" s="57">
        <v>10</v>
      </c>
      <c r="F8" s="58">
        <v>4</v>
      </c>
      <c r="G8" s="75">
        <v>43</v>
      </c>
      <c r="H8" s="93">
        <v>0.6</v>
      </c>
      <c r="I8" s="58">
        <v>33</v>
      </c>
      <c r="J8" s="75">
        <v>18</v>
      </c>
      <c r="K8" s="72">
        <f t="shared" si="2"/>
        <v>10</v>
      </c>
      <c r="L8" s="73">
        <f t="shared" si="3"/>
        <v>5</v>
      </c>
      <c r="M8" s="73">
        <f t="shared" si="4"/>
        <v>43</v>
      </c>
      <c r="N8" s="73">
        <f t="shared" si="5"/>
        <v>15</v>
      </c>
      <c r="O8" s="73">
        <f t="shared" si="6"/>
        <v>17</v>
      </c>
      <c r="P8" s="74">
        <f t="shared" si="7"/>
        <v>26</v>
      </c>
      <c r="Q8" s="85">
        <f t="shared" si="8"/>
        <v>43</v>
      </c>
      <c r="R8" s="86" t="str">
        <f t="shared" si="9"/>
        <v>优</v>
      </c>
      <c r="S8" s="86" t="str">
        <f t="shared" si="10"/>
        <v>PM10</v>
      </c>
      <c r="T8" s="87" t="str">
        <f t="shared" si="11"/>
        <v/>
      </c>
      <c r="V8" s="84" t="s">
        <v>22</v>
      </c>
      <c r="W8" s="84">
        <f>COUNTIF(E4:E34,"&gt;150")</f>
        <v>0</v>
      </c>
      <c r="X8" s="84">
        <f>COUNTIF(F4:F34,"&gt;80")</f>
        <v>0</v>
      </c>
      <c r="Y8" s="84">
        <f>COUNTIF(G4:G34,"&gt;150")</f>
        <v>0</v>
      </c>
      <c r="Z8" s="84">
        <f>COUNTIF(H4:H34,"&gt;4")</f>
        <v>0</v>
      </c>
      <c r="AA8" s="84">
        <f>COUNTIF(I4:I34,"&gt;160")</f>
        <v>0</v>
      </c>
      <c r="AB8" s="84">
        <f>COUNTIF(J4:J34,"&gt;75")</f>
        <v>0</v>
      </c>
      <c r="AE8" s="32"/>
      <c r="AF8" s="32"/>
      <c r="AG8" s="32"/>
      <c r="AH8" s="32"/>
      <c r="AI8" s="32"/>
      <c r="AJ8" s="32"/>
      <c r="AK8" s="32"/>
      <c r="AL8" s="32"/>
      <c r="AM8" s="32"/>
    </row>
    <row r="9" ht="14.1" customHeight="1" spans="1:39">
      <c r="A9" s="54" t="str">
        <f t="shared" si="1"/>
        <v>会同二完小</v>
      </c>
      <c r="B9" s="55">
        <f t="shared" si="13"/>
        <v>2019</v>
      </c>
      <c r="C9" s="55">
        <f t="shared" si="14"/>
        <v>7</v>
      </c>
      <c r="D9" s="56">
        <v>6</v>
      </c>
      <c r="E9" s="57">
        <v>10</v>
      </c>
      <c r="F9" s="58">
        <v>5</v>
      </c>
      <c r="G9" s="75">
        <v>32</v>
      </c>
      <c r="H9" s="93">
        <v>0.4</v>
      </c>
      <c r="I9" s="58">
        <v>31</v>
      </c>
      <c r="J9" s="75">
        <v>15</v>
      </c>
      <c r="K9" s="72">
        <f t="shared" si="2"/>
        <v>10</v>
      </c>
      <c r="L9" s="73">
        <f t="shared" si="3"/>
        <v>7</v>
      </c>
      <c r="M9" s="73">
        <f t="shared" si="4"/>
        <v>32</v>
      </c>
      <c r="N9" s="73">
        <f t="shared" si="5"/>
        <v>10</v>
      </c>
      <c r="O9" s="73">
        <f t="shared" si="6"/>
        <v>16</v>
      </c>
      <c r="P9" s="74">
        <f t="shared" si="7"/>
        <v>22</v>
      </c>
      <c r="Q9" s="85">
        <f t="shared" si="8"/>
        <v>32</v>
      </c>
      <c r="R9" s="86" t="str">
        <f t="shared" si="9"/>
        <v>优</v>
      </c>
      <c r="S9" s="86" t="str">
        <f t="shared" si="10"/>
        <v>PM10</v>
      </c>
      <c r="T9" s="87" t="str">
        <f t="shared" si="11"/>
        <v/>
      </c>
      <c r="V9" s="84" t="s">
        <v>23</v>
      </c>
      <c r="W9" s="88">
        <f>W8/W7</f>
        <v>0</v>
      </c>
      <c r="X9" s="88">
        <f t="shared" ref="X9:AB9" si="17">X8/X7</f>
        <v>0</v>
      </c>
      <c r="Y9" s="88">
        <f t="shared" si="17"/>
        <v>0</v>
      </c>
      <c r="Z9" s="88">
        <f t="shared" si="17"/>
        <v>0</v>
      </c>
      <c r="AA9" s="88">
        <f t="shared" si="17"/>
        <v>0</v>
      </c>
      <c r="AB9" s="88">
        <f t="shared" si="17"/>
        <v>0</v>
      </c>
      <c r="AE9" s="32"/>
      <c r="AF9" s="32"/>
      <c r="AG9" s="32"/>
      <c r="AH9" s="32"/>
      <c r="AI9" s="32"/>
      <c r="AJ9" s="32"/>
      <c r="AK9" s="32"/>
      <c r="AL9" s="32"/>
      <c r="AM9" s="32"/>
    </row>
    <row r="10" ht="14.1" customHeight="1" spans="1:28">
      <c r="A10" s="54" t="str">
        <f t="shared" si="1"/>
        <v>会同二完小</v>
      </c>
      <c r="B10" s="55">
        <f t="shared" si="13"/>
        <v>2019</v>
      </c>
      <c r="C10" s="55">
        <f t="shared" si="14"/>
        <v>7</v>
      </c>
      <c r="D10" s="51">
        <v>7</v>
      </c>
      <c r="E10" s="57">
        <v>4</v>
      </c>
      <c r="F10" s="58">
        <v>5</v>
      </c>
      <c r="G10" s="75">
        <v>24</v>
      </c>
      <c r="H10" s="93">
        <v>0.4</v>
      </c>
      <c r="I10" s="58">
        <v>46</v>
      </c>
      <c r="J10" s="75">
        <v>7</v>
      </c>
      <c r="K10" s="72">
        <f t="shared" si="2"/>
        <v>4</v>
      </c>
      <c r="L10" s="73">
        <f t="shared" si="3"/>
        <v>7</v>
      </c>
      <c r="M10" s="73">
        <f t="shared" si="4"/>
        <v>24</v>
      </c>
      <c r="N10" s="73">
        <f t="shared" si="5"/>
        <v>10</v>
      </c>
      <c r="O10" s="73">
        <f t="shared" si="6"/>
        <v>23</v>
      </c>
      <c r="P10" s="74">
        <f t="shared" si="7"/>
        <v>10</v>
      </c>
      <c r="Q10" s="85">
        <f t="shared" si="8"/>
        <v>24</v>
      </c>
      <c r="R10" s="86" t="str">
        <f t="shared" si="9"/>
        <v>优</v>
      </c>
      <c r="S10" s="86" t="str">
        <f t="shared" si="10"/>
        <v>PM10</v>
      </c>
      <c r="T10" s="87" t="str">
        <f t="shared" si="11"/>
        <v/>
      </c>
      <c r="V10" s="84"/>
      <c r="W10" s="84"/>
      <c r="X10" s="84"/>
      <c r="Y10" s="84"/>
      <c r="Z10" s="84"/>
      <c r="AA10" s="84"/>
      <c r="AB10" s="84"/>
    </row>
    <row r="11" ht="14.1" customHeight="1" spans="1:28">
      <c r="A11" s="54" t="str">
        <f t="shared" si="1"/>
        <v>会同二完小</v>
      </c>
      <c r="B11" s="55">
        <f t="shared" si="13"/>
        <v>2019</v>
      </c>
      <c r="C11" s="55">
        <f t="shared" si="14"/>
        <v>7</v>
      </c>
      <c r="D11" s="56">
        <v>8</v>
      </c>
      <c r="E11" s="57">
        <v>4</v>
      </c>
      <c r="F11" s="58">
        <v>4</v>
      </c>
      <c r="G11" s="75">
        <v>15</v>
      </c>
      <c r="H11" s="93">
        <v>0.4</v>
      </c>
      <c r="I11" s="58">
        <v>48</v>
      </c>
      <c r="J11" s="75">
        <v>2</v>
      </c>
      <c r="K11" s="72">
        <f t="shared" si="2"/>
        <v>4</v>
      </c>
      <c r="L11" s="73">
        <f t="shared" si="3"/>
        <v>5</v>
      </c>
      <c r="M11" s="73">
        <f t="shared" si="4"/>
        <v>15</v>
      </c>
      <c r="N11" s="73">
        <f t="shared" si="5"/>
        <v>10</v>
      </c>
      <c r="O11" s="73">
        <f t="shared" si="6"/>
        <v>24</v>
      </c>
      <c r="P11" s="74">
        <f t="shared" si="7"/>
        <v>3</v>
      </c>
      <c r="Q11" s="85">
        <f t="shared" si="8"/>
        <v>24</v>
      </c>
      <c r="R11" s="86" t="str">
        <f t="shared" si="9"/>
        <v>优</v>
      </c>
      <c r="S11" s="86" t="str">
        <f t="shared" si="10"/>
        <v>O3-8h</v>
      </c>
      <c r="T11" s="87" t="str">
        <f t="shared" si="11"/>
        <v/>
      </c>
      <c r="V11" s="84" t="s">
        <v>24</v>
      </c>
      <c r="W11" s="84" t="s">
        <v>25</v>
      </c>
      <c r="X11" s="84" t="s">
        <v>26</v>
      </c>
      <c r="Y11" s="84" t="s">
        <v>27</v>
      </c>
      <c r="Z11" s="84" t="s">
        <v>28</v>
      </c>
      <c r="AA11" s="84" t="s">
        <v>29</v>
      </c>
      <c r="AB11" s="84" t="s">
        <v>30</v>
      </c>
    </row>
    <row r="12" ht="14.1" customHeight="1" spans="1:28">
      <c r="A12" s="54" t="str">
        <f t="shared" si="1"/>
        <v>会同二完小</v>
      </c>
      <c r="B12" s="55">
        <f t="shared" si="13"/>
        <v>2019</v>
      </c>
      <c r="C12" s="55">
        <f t="shared" si="14"/>
        <v>7</v>
      </c>
      <c r="D12" s="56">
        <v>9</v>
      </c>
      <c r="E12" s="57">
        <v>4</v>
      </c>
      <c r="F12" s="58">
        <v>4</v>
      </c>
      <c r="G12" s="75">
        <v>27</v>
      </c>
      <c r="H12" s="58">
        <v>0.5</v>
      </c>
      <c r="I12" s="58">
        <v>104</v>
      </c>
      <c r="J12" s="75">
        <v>12</v>
      </c>
      <c r="K12" s="72">
        <f t="shared" si="2"/>
        <v>4</v>
      </c>
      <c r="L12" s="73">
        <f t="shared" si="3"/>
        <v>5</v>
      </c>
      <c r="M12" s="73">
        <f t="shared" si="4"/>
        <v>27</v>
      </c>
      <c r="N12" s="73">
        <f t="shared" si="5"/>
        <v>13</v>
      </c>
      <c r="O12" s="73">
        <f t="shared" si="6"/>
        <v>54</v>
      </c>
      <c r="P12" s="74">
        <f t="shared" si="7"/>
        <v>18</v>
      </c>
      <c r="Q12" s="85">
        <f t="shared" si="8"/>
        <v>54</v>
      </c>
      <c r="R12" s="86" t="str">
        <f t="shared" si="9"/>
        <v>良</v>
      </c>
      <c r="S12" s="86" t="str">
        <f t="shared" si="10"/>
        <v>O3-8h</v>
      </c>
      <c r="T12" s="87" t="str">
        <f t="shared" si="11"/>
        <v/>
      </c>
      <c r="V12" s="84">
        <f>COUNT(Q4:Q34)</f>
        <v>31</v>
      </c>
      <c r="W12" s="84">
        <f>COUNTIF(R4:R34,"优")</f>
        <v>26</v>
      </c>
      <c r="X12" s="84">
        <f>COUNTIF(R4:R34,"良")</f>
        <v>5</v>
      </c>
      <c r="Y12" s="84">
        <f>COUNTIF(R4:R34,"轻度污染")</f>
        <v>0</v>
      </c>
      <c r="Z12" s="84">
        <f>COUNTIF(R4:R34,"中度污染")</f>
        <v>0</v>
      </c>
      <c r="AA12" s="84">
        <f>COUNTIF(R4:R34,"重度污染")</f>
        <v>0</v>
      </c>
      <c r="AB12" s="84">
        <f>COUNTIF(R4:R34,"严重污染")</f>
        <v>0</v>
      </c>
    </row>
    <row r="13" ht="14.1" customHeight="1" spans="1:28">
      <c r="A13" s="54" t="str">
        <f t="shared" si="1"/>
        <v>会同二完小</v>
      </c>
      <c r="B13" s="55">
        <f t="shared" si="13"/>
        <v>2019</v>
      </c>
      <c r="C13" s="55">
        <f t="shared" si="14"/>
        <v>7</v>
      </c>
      <c r="D13" s="56">
        <v>10</v>
      </c>
      <c r="E13" s="57">
        <v>8</v>
      </c>
      <c r="F13" s="58">
        <v>5</v>
      </c>
      <c r="G13" s="75">
        <v>52</v>
      </c>
      <c r="H13" s="58">
        <v>0.6</v>
      </c>
      <c r="I13" s="76">
        <v>80</v>
      </c>
      <c r="J13" s="75">
        <v>23</v>
      </c>
      <c r="K13" s="72">
        <f t="shared" si="2"/>
        <v>8</v>
      </c>
      <c r="L13" s="73">
        <f t="shared" si="3"/>
        <v>7</v>
      </c>
      <c r="M13" s="73">
        <f t="shared" si="4"/>
        <v>51</v>
      </c>
      <c r="N13" s="73">
        <f t="shared" si="5"/>
        <v>15</v>
      </c>
      <c r="O13" s="73">
        <f t="shared" si="6"/>
        <v>40</v>
      </c>
      <c r="P13" s="74">
        <f t="shared" si="7"/>
        <v>33</v>
      </c>
      <c r="Q13" s="85">
        <f t="shared" si="8"/>
        <v>51</v>
      </c>
      <c r="R13" s="86" t="str">
        <f t="shared" si="9"/>
        <v>良</v>
      </c>
      <c r="S13" s="86" t="str">
        <f t="shared" si="10"/>
        <v>PM10</v>
      </c>
      <c r="T13" s="87" t="str">
        <f t="shared" si="11"/>
        <v/>
      </c>
      <c r="V13" s="84"/>
      <c r="W13" s="84"/>
      <c r="X13" s="84"/>
      <c r="Y13" s="84"/>
      <c r="Z13" s="84"/>
      <c r="AA13" s="84"/>
      <c r="AB13" s="84"/>
    </row>
    <row r="14" ht="14.1" customHeight="1" spans="1:28">
      <c r="A14" s="54" t="str">
        <f t="shared" si="1"/>
        <v>会同二完小</v>
      </c>
      <c r="B14" s="55">
        <f t="shared" si="13"/>
        <v>2019</v>
      </c>
      <c r="C14" s="55">
        <f t="shared" si="14"/>
        <v>7</v>
      </c>
      <c r="D14" s="56">
        <v>11</v>
      </c>
      <c r="E14" s="57">
        <v>6</v>
      </c>
      <c r="F14" s="58">
        <v>5</v>
      </c>
      <c r="G14" s="75">
        <v>48</v>
      </c>
      <c r="H14" s="93">
        <v>0.6</v>
      </c>
      <c r="I14" s="76">
        <v>40</v>
      </c>
      <c r="J14" s="75">
        <v>25</v>
      </c>
      <c r="K14" s="72">
        <f t="shared" si="2"/>
        <v>6</v>
      </c>
      <c r="L14" s="73">
        <f t="shared" si="3"/>
        <v>7</v>
      </c>
      <c r="M14" s="73">
        <f t="shared" si="4"/>
        <v>48</v>
      </c>
      <c r="N14" s="73">
        <f t="shared" si="5"/>
        <v>15</v>
      </c>
      <c r="O14" s="73">
        <f t="shared" si="6"/>
        <v>20</v>
      </c>
      <c r="P14" s="74">
        <f t="shared" si="7"/>
        <v>36</v>
      </c>
      <c r="Q14" s="85">
        <f t="shared" si="8"/>
        <v>48</v>
      </c>
      <c r="R14" s="86" t="str">
        <f t="shared" si="9"/>
        <v>优</v>
      </c>
      <c r="S14" s="86" t="str">
        <f t="shared" si="10"/>
        <v>PM10</v>
      </c>
      <c r="T14" s="87" t="str">
        <f t="shared" si="11"/>
        <v/>
      </c>
      <c r="V14" s="84" t="s">
        <v>31</v>
      </c>
      <c r="W14" s="84" t="s">
        <v>32</v>
      </c>
      <c r="X14" s="84" t="s">
        <v>33</v>
      </c>
      <c r="Y14" s="84" t="s">
        <v>34</v>
      </c>
      <c r="Z14" s="84"/>
      <c r="AA14" s="84"/>
      <c r="AB14" s="84"/>
    </row>
    <row r="15" ht="14.1" customHeight="1" spans="1:28">
      <c r="A15" s="54" t="str">
        <f t="shared" si="1"/>
        <v>会同二完小</v>
      </c>
      <c r="B15" s="55">
        <f t="shared" si="13"/>
        <v>2019</v>
      </c>
      <c r="C15" s="55">
        <f t="shared" si="14"/>
        <v>7</v>
      </c>
      <c r="D15" s="56">
        <v>12</v>
      </c>
      <c r="E15" s="57">
        <v>5</v>
      </c>
      <c r="F15" s="58">
        <v>6</v>
      </c>
      <c r="G15" s="75">
        <v>33</v>
      </c>
      <c r="H15" s="58">
        <v>0.7</v>
      </c>
      <c r="I15" s="58">
        <v>30</v>
      </c>
      <c r="J15" s="75">
        <v>15</v>
      </c>
      <c r="K15" s="72">
        <f t="shared" si="2"/>
        <v>5</v>
      </c>
      <c r="L15" s="73">
        <f t="shared" si="3"/>
        <v>8</v>
      </c>
      <c r="M15" s="73">
        <f t="shared" si="4"/>
        <v>33</v>
      </c>
      <c r="N15" s="73">
        <f t="shared" si="5"/>
        <v>18</v>
      </c>
      <c r="O15" s="73">
        <f t="shared" si="6"/>
        <v>15</v>
      </c>
      <c r="P15" s="74">
        <f t="shared" si="7"/>
        <v>22</v>
      </c>
      <c r="Q15" s="85">
        <f t="shared" si="8"/>
        <v>33</v>
      </c>
      <c r="R15" s="86" t="str">
        <f t="shared" si="9"/>
        <v>优</v>
      </c>
      <c r="S15" s="86" t="str">
        <f t="shared" si="10"/>
        <v>PM10</v>
      </c>
      <c r="T15" s="87" t="str">
        <f t="shared" si="11"/>
        <v/>
      </c>
      <c r="V15" s="84">
        <f>SUM(W12:AB12)</f>
        <v>31</v>
      </c>
      <c r="W15" s="84">
        <f>COUNTIF(R4:R34,"无效")</f>
        <v>0</v>
      </c>
      <c r="X15" s="88">
        <v>1</v>
      </c>
      <c r="Y15" s="84" t="str">
        <f>IF(AND(C4=2,SUM(W12:AB12)&gt;=25),"是",IF(SUM(W12:AB12)&gt;=27,"是","否"))</f>
        <v>是</v>
      </c>
      <c r="Z15" s="84"/>
      <c r="AA15" s="84"/>
      <c r="AB15" s="84"/>
    </row>
    <row r="16" ht="14.1" customHeight="1" spans="1:20">
      <c r="A16" s="54" t="str">
        <f t="shared" si="1"/>
        <v>会同二完小</v>
      </c>
      <c r="B16" s="55">
        <f t="shared" si="13"/>
        <v>2019</v>
      </c>
      <c r="C16" s="55">
        <f t="shared" si="14"/>
        <v>7</v>
      </c>
      <c r="D16" s="51">
        <v>13</v>
      </c>
      <c r="E16" s="57">
        <v>4</v>
      </c>
      <c r="F16" s="58">
        <v>3</v>
      </c>
      <c r="G16" s="75">
        <v>16</v>
      </c>
      <c r="H16" s="58">
        <v>0.6</v>
      </c>
      <c r="I16" s="58">
        <v>53</v>
      </c>
      <c r="J16" s="75">
        <v>4</v>
      </c>
      <c r="K16" s="72">
        <f t="shared" si="2"/>
        <v>4</v>
      </c>
      <c r="L16" s="73">
        <f t="shared" si="3"/>
        <v>4</v>
      </c>
      <c r="M16" s="73">
        <f t="shared" si="4"/>
        <v>16</v>
      </c>
      <c r="N16" s="73">
        <f t="shared" si="5"/>
        <v>15</v>
      </c>
      <c r="O16" s="73">
        <f t="shared" si="6"/>
        <v>27</v>
      </c>
      <c r="P16" s="74">
        <f t="shared" si="7"/>
        <v>6</v>
      </c>
      <c r="Q16" s="85">
        <f t="shared" si="8"/>
        <v>27</v>
      </c>
      <c r="R16" s="86" t="str">
        <f t="shared" si="9"/>
        <v>优</v>
      </c>
      <c r="S16" s="86" t="str">
        <f t="shared" si="10"/>
        <v>O3-8h</v>
      </c>
      <c r="T16" s="87" t="str">
        <f t="shared" si="11"/>
        <v/>
      </c>
    </row>
    <row r="17" ht="14.1" customHeight="1" spans="1:20">
      <c r="A17" s="54" t="str">
        <f t="shared" si="1"/>
        <v>会同二完小</v>
      </c>
      <c r="B17" s="55">
        <f t="shared" si="13"/>
        <v>2019</v>
      </c>
      <c r="C17" s="55">
        <f t="shared" si="14"/>
        <v>7</v>
      </c>
      <c r="D17" s="56">
        <v>14</v>
      </c>
      <c r="E17" s="57">
        <v>6</v>
      </c>
      <c r="F17" s="58">
        <v>6</v>
      </c>
      <c r="G17" s="75">
        <v>32</v>
      </c>
      <c r="H17" s="58">
        <v>0.6</v>
      </c>
      <c r="I17" s="1">
        <v>53</v>
      </c>
      <c r="J17" s="75">
        <v>12</v>
      </c>
      <c r="K17" s="72">
        <f t="shared" si="2"/>
        <v>6</v>
      </c>
      <c r="L17" s="73">
        <f t="shared" si="3"/>
        <v>8</v>
      </c>
      <c r="M17" s="73">
        <f t="shared" si="4"/>
        <v>32</v>
      </c>
      <c r="N17" s="73">
        <f t="shared" si="5"/>
        <v>15</v>
      </c>
      <c r="O17" s="73">
        <f t="shared" si="6"/>
        <v>27</v>
      </c>
      <c r="P17" s="74">
        <f t="shared" si="7"/>
        <v>18</v>
      </c>
      <c r="Q17" s="85">
        <f t="shared" si="8"/>
        <v>32</v>
      </c>
      <c r="R17" s="86" t="str">
        <f t="shared" si="9"/>
        <v>优</v>
      </c>
      <c r="S17" s="86" t="str">
        <f t="shared" si="10"/>
        <v>PM10</v>
      </c>
      <c r="T17" s="87" t="str">
        <f t="shared" si="11"/>
        <v/>
      </c>
    </row>
    <row r="18" ht="14.1" customHeight="1" spans="1:20">
      <c r="A18" s="54" t="str">
        <f t="shared" si="1"/>
        <v>会同二完小</v>
      </c>
      <c r="B18" s="55">
        <f t="shared" si="13"/>
        <v>2019</v>
      </c>
      <c r="C18" s="55">
        <f t="shared" si="14"/>
        <v>7</v>
      </c>
      <c r="D18" s="56">
        <v>15</v>
      </c>
      <c r="E18" s="57">
        <v>5</v>
      </c>
      <c r="F18" s="58">
        <v>5</v>
      </c>
      <c r="G18" s="75">
        <v>25</v>
      </c>
      <c r="H18" s="58">
        <v>0.6</v>
      </c>
      <c r="I18" s="58">
        <v>26</v>
      </c>
      <c r="J18" s="75">
        <v>11</v>
      </c>
      <c r="K18" s="72">
        <f t="shared" si="2"/>
        <v>5</v>
      </c>
      <c r="L18" s="73">
        <f t="shared" si="3"/>
        <v>7</v>
      </c>
      <c r="M18" s="73">
        <f t="shared" si="4"/>
        <v>25</v>
      </c>
      <c r="N18" s="73">
        <f t="shared" si="5"/>
        <v>15</v>
      </c>
      <c r="O18" s="73">
        <f t="shared" si="6"/>
        <v>13</v>
      </c>
      <c r="P18" s="74">
        <f t="shared" si="7"/>
        <v>16</v>
      </c>
      <c r="Q18" s="85">
        <f t="shared" si="8"/>
        <v>25</v>
      </c>
      <c r="R18" s="86" t="str">
        <f t="shared" si="9"/>
        <v>优</v>
      </c>
      <c r="S18" s="86" t="str">
        <f t="shared" si="10"/>
        <v>PM10</v>
      </c>
      <c r="T18" s="87" t="str">
        <f t="shared" si="11"/>
        <v/>
      </c>
    </row>
    <row r="19" ht="14.1" customHeight="1" spans="1:20">
      <c r="A19" s="54" t="str">
        <f t="shared" si="1"/>
        <v>会同二完小</v>
      </c>
      <c r="B19" s="55">
        <f t="shared" si="13"/>
        <v>2019</v>
      </c>
      <c r="C19" s="55">
        <f t="shared" si="14"/>
        <v>7</v>
      </c>
      <c r="D19" s="56">
        <v>16</v>
      </c>
      <c r="E19" s="57">
        <v>6</v>
      </c>
      <c r="F19" s="58">
        <v>6</v>
      </c>
      <c r="G19" s="94">
        <v>31</v>
      </c>
      <c r="H19" s="58">
        <v>0.6</v>
      </c>
      <c r="I19" s="58">
        <v>55</v>
      </c>
      <c r="J19" s="94">
        <v>15</v>
      </c>
      <c r="K19" s="72">
        <f t="shared" si="2"/>
        <v>6</v>
      </c>
      <c r="L19" s="73">
        <f t="shared" si="3"/>
        <v>8</v>
      </c>
      <c r="M19" s="73">
        <f t="shared" si="4"/>
        <v>31</v>
      </c>
      <c r="N19" s="73">
        <f t="shared" si="5"/>
        <v>15</v>
      </c>
      <c r="O19" s="73">
        <f t="shared" si="6"/>
        <v>28</v>
      </c>
      <c r="P19" s="74">
        <f t="shared" si="7"/>
        <v>22</v>
      </c>
      <c r="Q19" s="85">
        <f t="shared" si="8"/>
        <v>31</v>
      </c>
      <c r="R19" s="86" t="str">
        <f t="shared" si="9"/>
        <v>优</v>
      </c>
      <c r="S19" s="86" t="str">
        <f t="shared" si="10"/>
        <v>PM10</v>
      </c>
      <c r="T19" s="87" t="str">
        <f t="shared" si="11"/>
        <v/>
      </c>
    </row>
    <row r="20" ht="14.1" customHeight="1" spans="1:20">
      <c r="A20" s="54" t="str">
        <f t="shared" si="1"/>
        <v>会同二完小</v>
      </c>
      <c r="B20" s="55">
        <f t="shared" si="13"/>
        <v>2019</v>
      </c>
      <c r="C20" s="55">
        <f t="shared" si="14"/>
        <v>7</v>
      </c>
      <c r="D20" s="56">
        <v>17</v>
      </c>
      <c r="E20" s="57">
        <v>7</v>
      </c>
      <c r="F20" s="58">
        <v>6</v>
      </c>
      <c r="G20" s="75">
        <v>45</v>
      </c>
      <c r="H20" s="93">
        <v>0.6</v>
      </c>
      <c r="I20" s="58">
        <v>60</v>
      </c>
      <c r="J20" s="75">
        <v>22</v>
      </c>
      <c r="K20" s="72">
        <f t="shared" si="2"/>
        <v>7</v>
      </c>
      <c r="L20" s="73">
        <f t="shared" si="3"/>
        <v>8</v>
      </c>
      <c r="M20" s="73">
        <f t="shared" si="4"/>
        <v>45</v>
      </c>
      <c r="N20" s="73">
        <f t="shared" si="5"/>
        <v>15</v>
      </c>
      <c r="O20" s="73">
        <f t="shared" si="6"/>
        <v>30</v>
      </c>
      <c r="P20" s="74">
        <f t="shared" si="7"/>
        <v>32</v>
      </c>
      <c r="Q20" s="85">
        <f t="shared" si="8"/>
        <v>45</v>
      </c>
      <c r="R20" s="86" t="str">
        <f t="shared" si="9"/>
        <v>优</v>
      </c>
      <c r="S20" s="86" t="str">
        <f t="shared" si="10"/>
        <v>PM10</v>
      </c>
      <c r="T20" s="87" t="str">
        <f t="shared" si="11"/>
        <v/>
      </c>
    </row>
    <row r="21" ht="14.1" customHeight="1" spans="1:20">
      <c r="A21" s="54" t="str">
        <f t="shared" si="1"/>
        <v>会同二完小</v>
      </c>
      <c r="B21" s="55">
        <f t="shared" si="13"/>
        <v>2019</v>
      </c>
      <c r="C21" s="55">
        <f t="shared" si="14"/>
        <v>7</v>
      </c>
      <c r="D21" s="56">
        <v>18</v>
      </c>
      <c r="E21" s="57">
        <v>9</v>
      </c>
      <c r="F21" s="58">
        <v>5</v>
      </c>
      <c r="G21" s="75">
        <v>37</v>
      </c>
      <c r="H21" s="93">
        <v>0.5</v>
      </c>
      <c r="I21" s="58">
        <v>68</v>
      </c>
      <c r="J21" s="75">
        <v>20</v>
      </c>
      <c r="K21" s="72">
        <f t="shared" si="2"/>
        <v>9</v>
      </c>
      <c r="L21" s="73">
        <f t="shared" si="3"/>
        <v>7</v>
      </c>
      <c r="M21" s="73">
        <f t="shared" si="4"/>
        <v>37</v>
      </c>
      <c r="N21" s="73">
        <f t="shared" si="5"/>
        <v>13</v>
      </c>
      <c r="O21" s="73">
        <f t="shared" si="6"/>
        <v>34</v>
      </c>
      <c r="P21" s="74">
        <f t="shared" si="7"/>
        <v>29</v>
      </c>
      <c r="Q21" s="85">
        <f t="shared" si="8"/>
        <v>37</v>
      </c>
      <c r="R21" s="86" t="str">
        <f t="shared" si="9"/>
        <v>优</v>
      </c>
      <c r="S21" s="86" t="str">
        <f t="shared" si="10"/>
        <v>PM10</v>
      </c>
      <c r="T21" s="87" t="str">
        <f t="shared" si="11"/>
        <v/>
      </c>
    </row>
    <row r="22" ht="14.1" customHeight="1" spans="1:20">
      <c r="A22" s="54" t="str">
        <f t="shared" si="1"/>
        <v>会同二完小</v>
      </c>
      <c r="B22" s="55">
        <f t="shared" si="13"/>
        <v>2019</v>
      </c>
      <c r="C22" s="55">
        <f t="shared" si="14"/>
        <v>7</v>
      </c>
      <c r="D22" s="51">
        <v>19</v>
      </c>
      <c r="E22" s="57">
        <v>7</v>
      </c>
      <c r="F22" s="58">
        <v>5</v>
      </c>
      <c r="G22" s="75">
        <v>37</v>
      </c>
      <c r="H22" s="93">
        <v>0.6</v>
      </c>
      <c r="I22" s="58">
        <v>62</v>
      </c>
      <c r="J22" s="75">
        <v>20</v>
      </c>
      <c r="K22" s="72">
        <f t="shared" si="2"/>
        <v>7</v>
      </c>
      <c r="L22" s="73">
        <f t="shared" si="3"/>
        <v>7</v>
      </c>
      <c r="M22" s="73">
        <f t="shared" si="4"/>
        <v>37</v>
      </c>
      <c r="N22" s="73">
        <f t="shared" si="5"/>
        <v>15</v>
      </c>
      <c r="O22" s="73">
        <f t="shared" si="6"/>
        <v>31</v>
      </c>
      <c r="P22" s="74">
        <f t="shared" si="7"/>
        <v>29</v>
      </c>
      <c r="Q22" s="85">
        <f t="shared" si="8"/>
        <v>37</v>
      </c>
      <c r="R22" s="86" t="str">
        <f t="shared" si="9"/>
        <v>优</v>
      </c>
      <c r="S22" s="86" t="str">
        <f t="shared" si="10"/>
        <v>PM10</v>
      </c>
      <c r="T22" s="87" t="str">
        <f t="shared" si="11"/>
        <v/>
      </c>
    </row>
    <row r="23" ht="14.1" customHeight="1" spans="1:20">
      <c r="A23" s="54" t="str">
        <f t="shared" si="1"/>
        <v>会同二完小</v>
      </c>
      <c r="B23" s="55">
        <f t="shared" si="13"/>
        <v>2019</v>
      </c>
      <c r="C23" s="55">
        <f t="shared" si="14"/>
        <v>7</v>
      </c>
      <c r="D23" s="56">
        <v>20</v>
      </c>
      <c r="E23" s="57">
        <v>8</v>
      </c>
      <c r="F23" s="58">
        <v>6</v>
      </c>
      <c r="G23" s="75">
        <v>32</v>
      </c>
      <c r="H23" s="58">
        <v>0.7</v>
      </c>
      <c r="I23" s="58">
        <v>78</v>
      </c>
      <c r="J23" s="75">
        <v>18</v>
      </c>
      <c r="K23" s="72">
        <f t="shared" si="2"/>
        <v>8</v>
      </c>
      <c r="L23" s="73">
        <f t="shared" si="3"/>
        <v>8</v>
      </c>
      <c r="M23" s="73">
        <f t="shared" si="4"/>
        <v>32</v>
      </c>
      <c r="N23" s="73">
        <f t="shared" si="5"/>
        <v>18</v>
      </c>
      <c r="O23" s="73">
        <f t="shared" si="6"/>
        <v>39</v>
      </c>
      <c r="P23" s="74">
        <f t="shared" si="7"/>
        <v>26</v>
      </c>
      <c r="Q23" s="85">
        <f t="shared" si="8"/>
        <v>39</v>
      </c>
      <c r="R23" s="86" t="str">
        <f t="shared" si="9"/>
        <v>优</v>
      </c>
      <c r="S23" s="86" t="str">
        <f t="shared" si="10"/>
        <v>O3-8h</v>
      </c>
      <c r="T23" s="87" t="str">
        <f t="shared" si="11"/>
        <v/>
      </c>
    </row>
    <row r="24" ht="14.1" customHeight="1" spans="1:20">
      <c r="A24" s="54" t="str">
        <f t="shared" si="1"/>
        <v>会同二完小</v>
      </c>
      <c r="B24" s="55">
        <f t="shared" si="13"/>
        <v>2019</v>
      </c>
      <c r="C24" s="55">
        <f t="shared" si="14"/>
        <v>7</v>
      </c>
      <c r="D24" s="56">
        <v>21</v>
      </c>
      <c r="E24" s="57">
        <v>8</v>
      </c>
      <c r="F24" s="58">
        <v>5</v>
      </c>
      <c r="G24" s="75">
        <v>43</v>
      </c>
      <c r="H24" s="58">
        <v>0.6</v>
      </c>
      <c r="I24" s="58">
        <v>71</v>
      </c>
      <c r="J24" s="75">
        <v>23</v>
      </c>
      <c r="K24" s="72">
        <f t="shared" si="2"/>
        <v>8</v>
      </c>
      <c r="L24" s="73">
        <f t="shared" si="3"/>
        <v>7</v>
      </c>
      <c r="M24" s="73">
        <f t="shared" si="4"/>
        <v>43</v>
      </c>
      <c r="N24" s="73">
        <f t="shared" si="5"/>
        <v>15</v>
      </c>
      <c r="O24" s="73">
        <f t="shared" si="6"/>
        <v>36</v>
      </c>
      <c r="P24" s="74">
        <f t="shared" si="7"/>
        <v>33</v>
      </c>
      <c r="Q24" s="85">
        <f t="shared" si="8"/>
        <v>43</v>
      </c>
      <c r="R24" s="86" t="str">
        <f t="shared" si="9"/>
        <v>优</v>
      </c>
      <c r="S24" s="86" t="str">
        <f t="shared" si="10"/>
        <v>PM10</v>
      </c>
      <c r="T24" s="87" t="str">
        <f t="shared" si="11"/>
        <v/>
      </c>
    </row>
    <row r="25" ht="14.1" customHeight="1" spans="1:20">
      <c r="A25" s="54" t="str">
        <f t="shared" si="1"/>
        <v>会同二完小</v>
      </c>
      <c r="B25" s="55">
        <f t="shared" si="13"/>
        <v>2019</v>
      </c>
      <c r="C25" s="55">
        <f t="shared" si="14"/>
        <v>7</v>
      </c>
      <c r="D25" s="56">
        <v>22</v>
      </c>
      <c r="E25" s="57">
        <v>8</v>
      </c>
      <c r="F25" s="58">
        <v>7</v>
      </c>
      <c r="G25" s="75">
        <v>41</v>
      </c>
      <c r="H25" s="58">
        <v>0.7</v>
      </c>
      <c r="I25" s="58">
        <v>73</v>
      </c>
      <c r="J25" s="75">
        <v>21</v>
      </c>
      <c r="K25" s="72">
        <f t="shared" si="2"/>
        <v>8</v>
      </c>
      <c r="L25" s="73">
        <f t="shared" si="3"/>
        <v>9</v>
      </c>
      <c r="M25" s="73">
        <f t="shared" si="4"/>
        <v>41</v>
      </c>
      <c r="N25" s="73">
        <f t="shared" si="5"/>
        <v>18</v>
      </c>
      <c r="O25" s="73">
        <f t="shared" si="6"/>
        <v>37</v>
      </c>
      <c r="P25" s="74">
        <f t="shared" si="7"/>
        <v>30</v>
      </c>
      <c r="Q25" s="85">
        <f t="shared" si="8"/>
        <v>41</v>
      </c>
      <c r="R25" s="86" t="str">
        <f t="shared" si="9"/>
        <v>优</v>
      </c>
      <c r="S25" s="86" t="str">
        <f t="shared" si="10"/>
        <v>PM10</v>
      </c>
      <c r="T25" s="87" t="str">
        <f t="shared" si="11"/>
        <v/>
      </c>
    </row>
    <row r="26" ht="14.1" customHeight="1" spans="1:20">
      <c r="A26" s="54" t="str">
        <f t="shared" si="1"/>
        <v>会同二完小</v>
      </c>
      <c r="B26" s="55">
        <f t="shared" si="13"/>
        <v>2019</v>
      </c>
      <c r="C26" s="55">
        <f t="shared" si="14"/>
        <v>7</v>
      </c>
      <c r="D26" s="56">
        <v>23</v>
      </c>
      <c r="E26" s="57">
        <v>7</v>
      </c>
      <c r="F26" s="58">
        <v>6</v>
      </c>
      <c r="G26" s="75">
        <v>28</v>
      </c>
      <c r="H26" s="58">
        <v>0.6</v>
      </c>
      <c r="I26" s="58">
        <v>72</v>
      </c>
      <c r="J26" s="75">
        <v>15</v>
      </c>
      <c r="K26" s="72">
        <f t="shared" si="2"/>
        <v>7</v>
      </c>
      <c r="L26" s="73">
        <f t="shared" si="3"/>
        <v>8</v>
      </c>
      <c r="M26" s="73">
        <f t="shared" si="4"/>
        <v>28</v>
      </c>
      <c r="N26" s="73">
        <f t="shared" si="5"/>
        <v>15</v>
      </c>
      <c r="O26" s="73">
        <f t="shared" si="6"/>
        <v>36</v>
      </c>
      <c r="P26" s="74">
        <f t="shared" si="7"/>
        <v>22</v>
      </c>
      <c r="Q26" s="85">
        <f t="shared" si="8"/>
        <v>36</v>
      </c>
      <c r="R26" s="86" t="str">
        <f t="shared" si="9"/>
        <v>优</v>
      </c>
      <c r="S26" s="86" t="str">
        <f t="shared" si="10"/>
        <v>O3-8h</v>
      </c>
      <c r="T26" s="87" t="str">
        <f t="shared" si="11"/>
        <v/>
      </c>
    </row>
    <row r="27" ht="14.1" customHeight="1" spans="1:20">
      <c r="A27" s="54" t="str">
        <f t="shared" si="1"/>
        <v>会同二完小</v>
      </c>
      <c r="B27" s="55">
        <f t="shared" si="13"/>
        <v>2019</v>
      </c>
      <c r="C27" s="55">
        <f t="shared" si="14"/>
        <v>7</v>
      </c>
      <c r="D27" s="56">
        <v>24</v>
      </c>
      <c r="E27" s="57">
        <v>6</v>
      </c>
      <c r="F27" s="58">
        <v>6</v>
      </c>
      <c r="G27" s="75">
        <v>33</v>
      </c>
      <c r="H27" s="93">
        <v>0.6</v>
      </c>
      <c r="I27" s="58">
        <v>66</v>
      </c>
      <c r="J27" s="75">
        <v>18</v>
      </c>
      <c r="K27" s="72">
        <f t="shared" si="2"/>
        <v>6</v>
      </c>
      <c r="L27" s="73">
        <f t="shared" si="3"/>
        <v>8</v>
      </c>
      <c r="M27" s="73">
        <f t="shared" si="4"/>
        <v>33</v>
      </c>
      <c r="N27" s="73">
        <f t="shared" si="5"/>
        <v>15</v>
      </c>
      <c r="O27" s="73">
        <f t="shared" si="6"/>
        <v>33</v>
      </c>
      <c r="P27" s="74">
        <f t="shared" si="7"/>
        <v>26</v>
      </c>
      <c r="Q27" s="85">
        <f t="shared" si="8"/>
        <v>33</v>
      </c>
      <c r="R27" s="86" t="str">
        <f t="shared" si="9"/>
        <v>优</v>
      </c>
      <c r="S27" s="86" t="str">
        <f t="shared" si="10"/>
        <v>PM10</v>
      </c>
      <c r="T27" s="87" t="str">
        <f t="shared" si="11"/>
        <v/>
      </c>
    </row>
    <row r="28" ht="14.1" customHeight="1" spans="1:20">
      <c r="A28" s="54" t="str">
        <f t="shared" si="1"/>
        <v>会同二完小</v>
      </c>
      <c r="B28" s="55">
        <f t="shared" si="13"/>
        <v>2019</v>
      </c>
      <c r="C28" s="55">
        <f t="shared" si="14"/>
        <v>7</v>
      </c>
      <c r="D28" s="51">
        <v>25</v>
      </c>
      <c r="E28" s="57">
        <v>7</v>
      </c>
      <c r="F28" s="58">
        <v>6</v>
      </c>
      <c r="G28" s="75">
        <v>39</v>
      </c>
      <c r="H28" s="58">
        <v>0.6</v>
      </c>
      <c r="I28" s="58">
        <v>71</v>
      </c>
      <c r="J28" s="75">
        <v>21</v>
      </c>
      <c r="K28" s="72">
        <f t="shared" si="2"/>
        <v>7</v>
      </c>
      <c r="L28" s="73">
        <f t="shared" si="3"/>
        <v>8</v>
      </c>
      <c r="M28" s="73">
        <f t="shared" si="4"/>
        <v>39</v>
      </c>
      <c r="N28" s="73">
        <f t="shared" si="5"/>
        <v>15</v>
      </c>
      <c r="O28" s="73">
        <f t="shared" si="6"/>
        <v>36</v>
      </c>
      <c r="P28" s="74">
        <f t="shared" si="7"/>
        <v>30</v>
      </c>
      <c r="Q28" s="85">
        <f t="shared" si="8"/>
        <v>39</v>
      </c>
      <c r="R28" s="86" t="str">
        <f t="shared" si="9"/>
        <v>优</v>
      </c>
      <c r="S28" s="86" t="str">
        <f t="shared" si="10"/>
        <v>PM10</v>
      </c>
      <c r="T28" s="87" t="str">
        <f t="shared" si="11"/>
        <v/>
      </c>
    </row>
    <row r="29" ht="14.1" customHeight="1" spans="1:20">
      <c r="A29" s="54" t="str">
        <f t="shared" si="1"/>
        <v>会同二完小</v>
      </c>
      <c r="B29" s="55">
        <f t="shared" si="13"/>
        <v>2019</v>
      </c>
      <c r="C29" s="55">
        <f t="shared" si="14"/>
        <v>7</v>
      </c>
      <c r="D29" s="56">
        <v>26</v>
      </c>
      <c r="E29" s="57">
        <v>7</v>
      </c>
      <c r="F29" s="58">
        <v>6</v>
      </c>
      <c r="G29" s="75">
        <v>33</v>
      </c>
      <c r="H29" s="58">
        <v>0.6</v>
      </c>
      <c r="I29" s="58">
        <v>56</v>
      </c>
      <c r="J29" s="75">
        <v>17</v>
      </c>
      <c r="K29" s="72">
        <f t="shared" si="2"/>
        <v>7</v>
      </c>
      <c r="L29" s="73">
        <f t="shared" si="3"/>
        <v>8</v>
      </c>
      <c r="M29" s="73">
        <f t="shared" si="4"/>
        <v>33</v>
      </c>
      <c r="N29" s="73">
        <f t="shared" si="5"/>
        <v>15</v>
      </c>
      <c r="O29" s="73">
        <f t="shared" si="6"/>
        <v>28</v>
      </c>
      <c r="P29" s="74">
        <f t="shared" si="7"/>
        <v>25</v>
      </c>
      <c r="Q29" s="85">
        <f t="shared" si="8"/>
        <v>33</v>
      </c>
      <c r="R29" s="86" t="str">
        <f t="shared" si="9"/>
        <v>优</v>
      </c>
      <c r="S29" s="86" t="str">
        <f t="shared" si="10"/>
        <v>PM10</v>
      </c>
      <c r="T29" s="87" t="str">
        <f t="shared" si="11"/>
        <v/>
      </c>
    </row>
    <row r="30" ht="14.1" customHeight="1" spans="1:20">
      <c r="A30" s="54" t="str">
        <f t="shared" si="1"/>
        <v>会同二完小</v>
      </c>
      <c r="B30" s="55">
        <f t="shared" si="13"/>
        <v>2019</v>
      </c>
      <c r="C30" s="55">
        <f t="shared" si="14"/>
        <v>7</v>
      </c>
      <c r="D30" s="56">
        <v>27</v>
      </c>
      <c r="E30" s="57">
        <v>6</v>
      </c>
      <c r="F30" s="58">
        <v>6</v>
      </c>
      <c r="G30" s="75">
        <v>31</v>
      </c>
      <c r="H30" s="58">
        <v>0.6</v>
      </c>
      <c r="I30" s="58">
        <v>62</v>
      </c>
      <c r="J30" s="75">
        <v>15</v>
      </c>
      <c r="K30" s="72">
        <f t="shared" si="2"/>
        <v>6</v>
      </c>
      <c r="L30" s="73">
        <f t="shared" si="3"/>
        <v>8</v>
      </c>
      <c r="M30" s="73">
        <f t="shared" si="4"/>
        <v>31</v>
      </c>
      <c r="N30" s="73">
        <f t="shared" si="5"/>
        <v>15</v>
      </c>
      <c r="O30" s="73">
        <f t="shared" si="6"/>
        <v>31</v>
      </c>
      <c r="P30" s="74">
        <f t="shared" si="7"/>
        <v>22</v>
      </c>
      <c r="Q30" s="85">
        <f t="shared" si="8"/>
        <v>31</v>
      </c>
      <c r="R30" s="86" t="str">
        <f t="shared" si="9"/>
        <v>优</v>
      </c>
      <c r="S30" s="86" t="str">
        <f t="shared" si="10"/>
        <v>PM10</v>
      </c>
      <c r="T30" s="87" t="str">
        <f t="shared" si="11"/>
        <v/>
      </c>
    </row>
    <row r="31" ht="14.1" customHeight="1" spans="1:20">
      <c r="A31" s="54" t="str">
        <f t="shared" si="1"/>
        <v>会同二完小</v>
      </c>
      <c r="B31" s="55">
        <f t="shared" si="13"/>
        <v>2019</v>
      </c>
      <c r="C31" s="55">
        <f t="shared" si="14"/>
        <v>7</v>
      </c>
      <c r="D31" s="56">
        <v>28</v>
      </c>
      <c r="E31" s="57">
        <v>6</v>
      </c>
      <c r="F31" s="58">
        <v>7</v>
      </c>
      <c r="G31" s="75">
        <v>36</v>
      </c>
      <c r="H31" s="58">
        <v>0.9</v>
      </c>
      <c r="I31" s="58">
        <v>71</v>
      </c>
      <c r="J31" s="75">
        <v>18</v>
      </c>
      <c r="K31" s="72">
        <f t="shared" si="2"/>
        <v>6</v>
      </c>
      <c r="L31" s="73">
        <f t="shared" si="3"/>
        <v>9</v>
      </c>
      <c r="M31" s="73">
        <f t="shared" si="4"/>
        <v>36</v>
      </c>
      <c r="N31" s="73">
        <f t="shared" si="5"/>
        <v>23</v>
      </c>
      <c r="O31" s="73">
        <f t="shared" si="6"/>
        <v>36</v>
      </c>
      <c r="P31" s="74">
        <f t="shared" si="7"/>
        <v>26</v>
      </c>
      <c r="Q31" s="85">
        <f t="shared" si="8"/>
        <v>36</v>
      </c>
      <c r="R31" s="86" t="str">
        <f t="shared" si="9"/>
        <v>优</v>
      </c>
      <c r="S31" s="86" t="str">
        <f t="shared" si="10"/>
        <v>PM10</v>
      </c>
      <c r="T31" s="87" t="str">
        <f t="shared" si="11"/>
        <v/>
      </c>
    </row>
    <row r="32" ht="14.1" customHeight="1" spans="1:20">
      <c r="A32" s="54" t="str">
        <f t="shared" si="1"/>
        <v>会同二完小</v>
      </c>
      <c r="B32" s="55">
        <f t="shared" si="13"/>
        <v>2019</v>
      </c>
      <c r="C32" s="55">
        <f t="shared" si="14"/>
        <v>7</v>
      </c>
      <c r="D32" s="56">
        <v>29</v>
      </c>
      <c r="E32" s="57">
        <v>13</v>
      </c>
      <c r="F32" s="58">
        <v>7</v>
      </c>
      <c r="G32" s="75">
        <v>37</v>
      </c>
      <c r="H32" s="58">
        <v>0.9</v>
      </c>
      <c r="I32" s="58">
        <v>73</v>
      </c>
      <c r="J32" s="75">
        <v>23</v>
      </c>
      <c r="K32" s="72">
        <f t="shared" si="2"/>
        <v>13</v>
      </c>
      <c r="L32" s="73">
        <f t="shared" si="3"/>
        <v>9</v>
      </c>
      <c r="M32" s="73">
        <f t="shared" si="4"/>
        <v>37</v>
      </c>
      <c r="N32" s="73">
        <f t="shared" si="5"/>
        <v>23</v>
      </c>
      <c r="O32" s="73">
        <f t="shared" si="6"/>
        <v>37</v>
      </c>
      <c r="P32" s="74">
        <f t="shared" si="7"/>
        <v>33</v>
      </c>
      <c r="Q32" s="85">
        <f t="shared" si="8"/>
        <v>37</v>
      </c>
      <c r="R32" s="86" t="str">
        <f t="shared" si="9"/>
        <v>优</v>
      </c>
      <c r="S32" s="86" t="str">
        <f t="shared" si="10"/>
        <v>PM10</v>
      </c>
      <c r="T32" s="87" t="str">
        <f t="shared" si="11"/>
        <v/>
      </c>
    </row>
    <row r="33" ht="14.1" customHeight="1" spans="1:20">
      <c r="A33" s="54" t="str">
        <f t="shared" si="1"/>
        <v>会同二完小</v>
      </c>
      <c r="B33" s="55">
        <f t="shared" si="13"/>
        <v>2019</v>
      </c>
      <c r="C33" s="55">
        <f t="shared" si="14"/>
        <v>7</v>
      </c>
      <c r="D33" s="56">
        <v>30</v>
      </c>
      <c r="E33" s="57">
        <v>10</v>
      </c>
      <c r="F33" s="58">
        <v>6</v>
      </c>
      <c r="G33" s="75">
        <v>37</v>
      </c>
      <c r="H33" s="58">
        <v>0.7</v>
      </c>
      <c r="I33" s="58">
        <v>63</v>
      </c>
      <c r="J33" s="75">
        <v>23</v>
      </c>
      <c r="K33" s="72">
        <f t="shared" si="2"/>
        <v>10</v>
      </c>
      <c r="L33" s="73">
        <f t="shared" si="3"/>
        <v>8</v>
      </c>
      <c r="M33" s="73">
        <f t="shared" si="4"/>
        <v>37</v>
      </c>
      <c r="N33" s="73">
        <f t="shared" si="5"/>
        <v>18</v>
      </c>
      <c r="O33" s="73">
        <f t="shared" si="6"/>
        <v>32</v>
      </c>
      <c r="P33" s="74">
        <f t="shared" si="7"/>
        <v>33</v>
      </c>
      <c r="Q33" s="85">
        <f t="shared" si="8"/>
        <v>37</v>
      </c>
      <c r="R33" s="86" t="str">
        <f t="shared" si="9"/>
        <v>优</v>
      </c>
      <c r="S33" s="86" t="str">
        <f t="shared" si="10"/>
        <v>PM10</v>
      </c>
      <c r="T33" s="87" t="str">
        <f t="shared" si="11"/>
        <v/>
      </c>
    </row>
    <row r="34" ht="14.1" customHeight="1" spans="1:20">
      <c r="A34" s="59" t="str">
        <f>IF(OR(C12=1,C12=3,C12=5,C12=7,C12=8,C12=10,C12=12),$A$4,"")</f>
        <v>会同二完小</v>
      </c>
      <c r="B34" s="60">
        <f>IF(OR(C12=1,C12=3,C12=5,C12=7,C12=8,C12=10,C12=12),$B$4,"")</f>
        <v>2019</v>
      </c>
      <c r="C34" s="60">
        <f>IF(OR(C12=1,C12=3,C12=5,C12=7,C12=8,C12=10,C12=12),$C$4,"")</f>
        <v>7</v>
      </c>
      <c r="D34" s="61">
        <f>IF(OR(C12=1,C12=3,C12=5,C12=7,C12=8,C12=10,C12=12),31,"")</f>
        <v>31</v>
      </c>
      <c r="E34" s="62">
        <v>5</v>
      </c>
      <c r="F34" s="63">
        <v>6</v>
      </c>
      <c r="G34" s="63">
        <v>36</v>
      </c>
      <c r="H34" s="63">
        <v>0.5</v>
      </c>
      <c r="I34" s="63">
        <v>59</v>
      </c>
      <c r="J34" s="77">
        <v>17</v>
      </c>
      <c r="K34" s="72">
        <f t="shared" si="2"/>
        <v>5</v>
      </c>
      <c r="L34" s="73">
        <f t="shared" si="3"/>
        <v>8</v>
      </c>
      <c r="M34" s="73">
        <f t="shared" si="4"/>
        <v>36</v>
      </c>
      <c r="N34" s="73">
        <f t="shared" si="5"/>
        <v>13</v>
      </c>
      <c r="O34" s="73">
        <f t="shared" si="6"/>
        <v>30</v>
      </c>
      <c r="P34" s="74">
        <f t="shared" si="7"/>
        <v>25</v>
      </c>
      <c r="Q34" s="89">
        <v>46</v>
      </c>
      <c r="R34" s="90" t="str">
        <f>IF(OR(C13=1,C13=3,C13=5,C13=7,C13=8,C13=10,C13=12),IF(Q34&gt;100,IF((150-Q34&gt;=0),"轻度污染",IF((200-Q34&gt;=0),"中度污染",IF((300-Q34&gt;=0),"重度污染",IF((Q34&gt;300),"严重污染")))),IF(OR(K34="",L34="",M34="",N34="",O34="",P34=""),"无效",IF((50-Q34&gt;=0),"优",IF((100-Q34&gt;=0),"良")))),"")</f>
        <v>优</v>
      </c>
      <c r="S34" s="90" t="e">
        <f>IF(Q34="","",IF(OR($C$4=1,$C$4=3,$C$4=5,$C$4=7,$C$4=8,$C$4=10,$C$4=12),IF(R34="无效","",INDEX($K$3:$P$3,MATCH(Q34,K34:P34,0))),""))</f>
        <v>#N/A</v>
      </c>
      <c r="T34" s="91" t="str">
        <f t="shared" si="11"/>
        <v/>
      </c>
    </row>
    <row r="35" ht="14.1" customHeight="1" spans="3:11">
      <c r="C35" s="32"/>
      <c r="D35" s="32"/>
      <c r="E35" s="32"/>
      <c r="F35" s="32"/>
      <c r="G35" s="32"/>
      <c r="H35" s="32"/>
      <c r="I35" s="32"/>
      <c r="J35" s="32"/>
      <c r="K35" s="32"/>
    </row>
    <row r="36" s="32" customFormat="1" ht="14.1" customHeight="1"/>
    <row r="37" s="32" customFormat="1" ht="14.1" customHeight="1"/>
    <row r="38" s="32" customFormat="1" ht="14.1" customHeight="1"/>
    <row r="39" s="32" customFormat="1" ht="14.1" customHeight="1"/>
    <row r="40" s="32" customFormat="1" ht="14.1" customHeight="1"/>
    <row r="41" s="32" customFormat="1" ht="14.1" customHeight="1"/>
  </sheetData>
  <sheetProtection formatCells="0" formatColumns="0" formatRows="0"/>
  <mergeCells count="11">
    <mergeCell ref="E1:J1"/>
    <mergeCell ref="E2:J2"/>
    <mergeCell ref="A1:A3"/>
    <mergeCell ref="B1:B3"/>
    <mergeCell ref="C1:C3"/>
    <mergeCell ref="D1:D3"/>
    <mergeCell ref="Q1:Q3"/>
    <mergeCell ref="R1:R3"/>
    <mergeCell ref="S1:S3"/>
    <mergeCell ref="T1:T3"/>
    <mergeCell ref="K1:P2"/>
  </mergeCells>
  <printOptions horizontalCentered="1" verticalCentered="1"/>
  <pageMargins left="0.511805555555556" right="0.511805555555556" top="0.747916666666667" bottom="0.55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41"/>
  <sheetViews>
    <sheetView workbookViewId="0">
      <selection activeCell="E42" sqref="E42"/>
    </sheetView>
  </sheetViews>
  <sheetFormatPr defaultColWidth="9" defaultRowHeight="13.5"/>
  <cols>
    <col min="1" max="1" width="7.875" style="1" customWidth="1"/>
    <col min="2" max="2" width="6.625" style="1" customWidth="1"/>
    <col min="3" max="3" width="5.375" style="1" customWidth="1"/>
    <col min="4" max="4" width="5.125" style="1" customWidth="1"/>
    <col min="5" max="16" width="6.625" style="1" customWidth="1"/>
    <col min="17" max="17" width="7.875" style="1" customWidth="1"/>
    <col min="18" max="20" width="8.625" style="1" customWidth="1"/>
    <col min="21" max="21" width="3.625" style="1" customWidth="1"/>
    <col min="22" max="22" width="9" style="1"/>
    <col min="23" max="23" width="9.75" style="1" customWidth="1"/>
    <col min="24" max="28" width="9" style="1"/>
    <col min="29" max="29" width="10.25" style="1" customWidth="1"/>
    <col min="30" max="30" width="9.625" style="1" customWidth="1"/>
    <col min="31" max="16384" width="9" style="1"/>
  </cols>
  <sheetData>
    <row r="1" ht="18.75" customHeight="1" spans="1:20">
      <c r="A1" s="33" t="s">
        <v>35</v>
      </c>
      <c r="B1" s="34" t="s">
        <v>1</v>
      </c>
      <c r="C1" s="34" t="s">
        <v>2</v>
      </c>
      <c r="D1" s="35" t="s">
        <v>3</v>
      </c>
      <c r="E1" s="36" t="s">
        <v>4</v>
      </c>
      <c r="F1" s="37"/>
      <c r="G1" s="37"/>
      <c r="H1" s="37"/>
      <c r="I1" s="37"/>
      <c r="J1" s="66"/>
      <c r="K1" s="67" t="s">
        <v>5</v>
      </c>
      <c r="L1" s="34"/>
      <c r="M1" s="34"/>
      <c r="N1" s="34"/>
      <c r="O1" s="34"/>
      <c r="P1" s="35"/>
      <c r="Q1" s="33" t="s">
        <v>6</v>
      </c>
      <c r="R1" s="78" t="s">
        <v>7</v>
      </c>
      <c r="S1" s="78" t="s">
        <v>8</v>
      </c>
      <c r="T1" s="79" t="s">
        <v>9</v>
      </c>
    </row>
    <row r="2" ht="19.5" customHeight="1" spans="1:20">
      <c r="A2" s="38"/>
      <c r="B2" s="39"/>
      <c r="C2" s="39"/>
      <c r="D2" s="40"/>
      <c r="E2" s="41" t="s">
        <v>10</v>
      </c>
      <c r="F2" s="42"/>
      <c r="G2" s="42"/>
      <c r="H2" s="42"/>
      <c r="I2" s="42"/>
      <c r="J2" s="68"/>
      <c r="K2" s="69"/>
      <c r="L2" s="39"/>
      <c r="M2" s="39"/>
      <c r="N2" s="39"/>
      <c r="O2" s="39"/>
      <c r="P2" s="40"/>
      <c r="Q2" s="38"/>
      <c r="R2" s="80"/>
      <c r="S2" s="80"/>
      <c r="T2" s="81"/>
    </row>
    <row r="3" ht="25.5" customHeight="1" spans="1:28">
      <c r="A3" s="43"/>
      <c r="B3" s="44"/>
      <c r="C3" s="44"/>
      <c r="D3" s="45"/>
      <c r="E3" s="46" t="s">
        <v>11</v>
      </c>
      <c r="F3" s="47" t="s">
        <v>12</v>
      </c>
      <c r="G3" s="48" t="s">
        <v>13</v>
      </c>
      <c r="H3" s="48" t="s">
        <v>14</v>
      </c>
      <c r="I3" s="48" t="s">
        <v>15</v>
      </c>
      <c r="J3" s="70" t="s">
        <v>16</v>
      </c>
      <c r="K3" s="46" t="s">
        <v>11</v>
      </c>
      <c r="L3" s="47" t="s">
        <v>12</v>
      </c>
      <c r="M3" s="48" t="s">
        <v>13</v>
      </c>
      <c r="N3" s="48" t="s">
        <v>14</v>
      </c>
      <c r="O3" s="48" t="s">
        <v>15</v>
      </c>
      <c r="P3" s="70" t="s">
        <v>16</v>
      </c>
      <c r="Q3" s="43"/>
      <c r="R3" s="82"/>
      <c r="S3" s="82"/>
      <c r="T3" s="83"/>
      <c r="W3" s="46" t="s">
        <v>11</v>
      </c>
      <c r="X3" s="47" t="s">
        <v>12</v>
      </c>
      <c r="Y3" s="48" t="s">
        <v>13</v>
      </c>
      <c r="Z3" s="48" t="s">
        <v>14</v>
      </c>
      <c r="AA3" s="48" t="s">
        <v>15</v>
      </c>
      <c r="AB3" s="70" t="s">
        <v>16</v>
      </c>
    </row>
    <row r="4" ht="14.1" customHeight="1" spans="1:39">
      <c r="A4" s="49" t="s">
        <v>38</v>
      </c>
      <c r="B4" s="50">
        <v>2017</v>
      </c>
      <c r="C4" s="50">
        <v>6</v>
      </c>
      <c r="D4" s="51">
        <v>1</v>
      </c>
      <c r="E4" s="52"/>
      <c r="F4" s="53"/>
      <c r="G4" s="53"/>
      <c r="H4" s="53"/>
      <c r="I4" s="53"/>
      <c r="J4" s="71"/>
      <c r="K4" s="72" t="str">
        <f>IF(E4="","",ROUNDUP(IF((50-E4)&gt;=0,E4,IF((150-E4)&gt;=0,0.5*(E4-50)+50,IF((475-E4)&gt;=0,(50/325)*(E4-150)+100,IF((800-E4)&gt;=0,(50/325)*(E4-475)+150,IF((1600-E4)&gt;=0,(1/8)*(E4-800)+200,IF((2100-E4)&gt;=0,(1/5)*(E4-1600)+300,IF((2620-E4)&gt;=0,(10/52)*(E4-2100)+400,""))))))),0))</f>
        <v/>
      </c>
      <c r="L4" s="73" t="str">
        <f>IF(F4="","",ROUNDUP(IF((40-F4)&gt;=0,(5/4)*F4,IF((80-F4)&gt;=0,(5/4)*(F4-40)+50,IF((180-F4)&gt;=0,(1/2)*(F4-80)+100,IF((280-F4)&gt;=0,(1/2)*(F4-180)+150,IF((565-F4)&gt;=0,(100/285)*(F4-280)+200,IF((750-F4)&gt;=0,(100/185)*(F4-565)+300,IF((940-F4)&gt;=0,(100/190)*(F4-750)+400,""))))))),0))</f>
        <v/>
      </c>
      <c r="M4" s="73" t="str">
        <f>IF(G4="","",ROUNDUP(IF((50-G4)&gt;=0,G4,IF((150-G4)&gt;=0,0.5*(G4-50)+50,IF((250-G4)&gt;=0,0.5*(G4-150)+100,IF((350-G4)&gt;=0,0.5*(G4-250)+150,IF((420-G4)&gt;=0,(10/7)*(G4-350)+200,IF((500-G4)&gt;=0,(10/8)*(G4-420)+300,IF((600-G4)&gt;=0,(G4-500)+400,""))))))),0))</f>
        <v/>
      </c>
      <c r="N4" s="73" t="str">
        <f>IF(H4="","",ROUNDUP(IF((2-H4)&gt;=0,25*H4,IF((4-H4)&gt;=0,25*(H4-2)+50,IF((14-H4)&gt;=0,5*(H4-4)+100,IF((24-H4)&gt;=0,5*(H4-14)+150,IF((36-H4)&gt;=0,(100/12)*(H4-24)+200,IF((48-H4)&gt;=0,(100/12)*(H4-36)+300,IF((60-H4)&gt;=0,(100/12)*(H4-48)+400,""))))))),0))</f>
        <v/>
      </c>
      <c r="O4" s="73" t="str">
        <f>IF(I4="","",ROUNDUP(IF((100-I4)&gt;=0,0.5*I4,IF((160-I4)&gt;=0,(5/6)*(I4-100)+50,IF((215-I4)&gt;=0,(50/55)*(I4-160)+100,IF((265-I4)&gt;=0,(I4-215)+150,IF((800-I4)&gt;=0,(100/535)*(I4-265)+200,""))))),0))</f>
        <v/>
      </c>
      <c r="P4" s="74" t="str">
        <f>IF(J4="","",ROUNDUP(IF((35-J4)&gt;=0,(50/35)*J4,IF((75-J4)&gt;=0,(5/4)*(J4-35)+50,IF((115-J4)&gt;=0,(5/4)*(J4-75)+100,IF((150-J4)&gt;=0,(50/35)*(J4-115)+150,IF((250-J4)&gt;=0,(J4-150)+200,IF((350-J4)&gt;=0,(J4-250)+300,IF((500-J4)&gt;=0,(10/15)*(J4-350)+400,""))))))),0))</f>
        <v/>
      </c>
      <c r="Q4" s="72">
        <f>MAX(K4:P4)</f>
        <v>0</v>
      </c>
      <c r="R4" s="73" t="str">
        <f>IF(Q4&gt;100,IF((150-Q4&gt;=0),"轻度污染",IF((200-Q4&gt;=0),"中度污染",IF((300-Q4&gt;=0),"重度污染",IF((Q4&gt;300),"严重污染")))),IF(OR(K4="",L4="",M4="",N4="",O4="",P4=""),"无效",IF((50-Q4&gt;=0),"优",IF((100-Q4&gt;=0),"良"))))</f>
        <v>无效</v>
      </c>
      <c r="S4" s="73" t="str">
        <f>IF(R4="无效","",INDEX($K$3:$P$3,MATCH(Q4,K4:P4,0)))</f>
        <v/>
      </c>
      <c r="T4" s="74" t="str">
        <f>IF(Q4&gt;100,S4,"")</f>
        <v/>
      </c>
      <c r="V4" s="84" t="s">
        <v>18</v>
      </c>
      <c r="W4" s="84">
        <f>MIN(E4:E34)</f>
        <v>0</v>
      </c>
      <c r="X4" s="84">
        <f t="shared" ref="X4:AB4" si="0">MIN(F4:F34)</f>
        <v>0</v>
      </c>
      <c r="Y4" s="84">
        <f t="shared" si="0"/>
        <v>0</v>
      </c>
      <c r="Z4" s="84">
        <f t="shared" si="0"/>
        <v>0</v>
      </c>
      <c r="AA4" s="84">
        <f t="shared" si="0"/>
        <v>0</v>
      </c>
      <c r="AB4" s="84">
        <f t="shared" si="0"/>
        <v>0</v>
      </c>
      <c r="AM4" s="32"/>
    </row>
    <row r="5" ht="14.1" customHeight="1" spans="1:39">
      <c r="A5" s="54" t="str">
        <f t="shared" ref="A5:A33" si="1">$A$4</f>
        <v>监测点2</v>
      </c>
      <c r="B5" s="55">
        <f>$B$4</f>
        <v>2017</v>
      </c>
      <c r="C5" s="55">
        <f>$C$4</f>
        <v>6</v>
      </c>
      <c r="D5" s="56">
        <v>2</v>
      </c>
      <c r="E5" s="57"/>
      <c r="F5" s="58"/>
      <c r="G5" s="58"/>
      <c r="H5" s="58"/>
      <c r="I5" s="58"/>
      <c r="J5" s="75"/>
      <c r="K5" s="72" t="str">
        <f t="shared" ref="K5:K34" si="2">IF(E5="","",ROUNDUP(IF((50-E5)&gt;=0,E5,IF((150-E5)&gt;=0,0.5*(E5-50)+50,IF((475-E5)&gt;=0,(50/325)*(E5-150)+100,IF((800-E5)&gt;=0,(50/325)*(E5-475)+150,IF((1600-E5)&gt;=0,(1/8)*(E5-800)+200,IF((2100-E5)&gt;=0,(1/5)*(E5-1600)+300,IF((2620-E5)&gt;=0,(10/52)*(E5-2100)+400,""))))))),0))</f>
        <v/>
      </c>
      <c r="L5" s="73" t="str">
        <f t="shared" ref="L5:L34" si="3">IF(F5="","",ROUNDUP(IF((40-F5)&gt;=0,(5/4)*F5,IF((80-F5)&gt;=0,(5/4)*(F5-40)+50,IF((180-F5)&gt;=0,(1/2)*(F5-80)+100,IF((280-F5)&gt;=0,(1/2)*(F5-180)+150,IF((565-F5)&gt;=0,(100/285)*(F5-280)+200,IF((750-F5)&gt;=0,(100/185)*(F5-565)+300,IF((940-F5)&gt;=0,(100/190)*(F5-750)+400,""))))))),0))</f>
        <v/>
      </c>
      <c r="M5" s="73" t="str">
        <f t="shared" ref="M5:M34" si="4">IF(G5="","",ROUNDUP(IF((50-G5)&gt;=0,G5,IF((150-G5)&gt;=0,0.5*(G5-50)+50,IF((250-G5)&gt;=0,0.5*(G5-150)+100,IF((350-G5)&gt;=0,0.5*(G5-250)+150,IF((420-G5)&gt;=0,(10/7)*(G5-350)+200,IF((500-G5)&gt;=0,(10/8)*(G5-420)+300,IF((600-G5)&gt;=0,(G5-500)+400,""))))))),0))</f>
        <v/>
      </c>
      <c r="N5" s="73" t="str">
        <f t="shared" ref="N5:N34" si="5">IF(H5="","",ROUNDUP(IF((2-H5)&gt;=0,25*H5,IF((4-H5)&gt;=0,25*(H5-2)+50,IF((14-H5)&gt;=0,5*(H5-4)+100,IF((24-H5)&gt;=0,5*(H5-14)+150,IF((36-H5)&gt;=0,(100/12)*(H5-24)+200,IF((48-H5)&gt;=0,(100/12)*(H5-36)+300,IF((60-H5)&gt;=0,(100/12)*(H5-48)+400,""))))))),0))</f>
        <v/>
      </c>
      <c r="O5" s="73" t="str">
        <f t="shared" ref="O5:O34" si="6">IF(I5="","",ROUNDUP(IF((100-I5)&gt;=0,0.5*I5,IF((160-I5)&gt;=0,(5/6)*(I5-100)+50,IF((215-I5)&gt;=0,(50/55)*(I5-160)+100,IF((265-I5)&gt;=0,(I5-215)+150,IF((800-I5)&gt;=0,(100/535)*(I5-265)+200,""))))),0))</f>
        <v/>
      </c>
      <c r="P5" s="74" t="str">
        <f t="shared" ref="P5:P34" si="7">IF(J5="","",ROUNDUP(IF((35-J5)&gt;=0,(50/35)*J5,IF((75-J5)&gt;=0,(5/4)*(J5-35)+50,IF((115-J5)&gt;=0,(5/4)*(J5-75)+100,IF((150-J5)&gt;=0,(50/35)*(J5-115)+150,IF((250-J5)&gt;=0,(J5-150)+200,IF((350-J5)&gt;=0,(J5-250)+300,IF((500-J5)&gt;=0,(10/15)*(J5-350)+400,""))))))),0))</f>
        <v/>
      </c>
      <c r="Q5" s="85">
        <f t="shared" ref="Q5:Q33" si="8">MAX(K5:P5)</f>
        <v>0</v>
      </c>
      <c r="R5" s="86" t="str">
        <f t="shared" ref="R5:R33" si="9">IF(Q5&gt;100,IF((150-Q5&gt;=0),"轻度污染",IF((200-Q5&gt;=0),"中度污染",IF((300-Q5&gt;=0),"重度污染",IF((Q5&gt;300),"严重污染")))),IF(OR(K5="",L5="",M5="",N5="",O5="",P5=""),"无效",IF((50-Q5&gt;=0),"优",IF((100-Q5&gt;=0),"良"))))</f>
        <v>无效</v>
      </c>
      <c r="S5" s="86" t="str">
        <f t="shared" ref="S5:S33" si="10">IF(R5="无效","",INDEX($K$3:$P$3,MATCH(Q5,K5:P5,0)))</f>
        <v/>
      </c>
      <c r="T5" s="87" t="str">
        <f t="shared" ref="T5:T34" si="11">IF(Q5&gt;100,S5,"")</f>
        <v/>
      </c>
      <c r="V5" s="84" t="s">
        <v>19</v>
      </c>
      <c r="W5" s="84">
        <f t="shared" ref="W5:AB5" si="12">MAX(E4:E34)</f>
        <v>0</v>
      </c>
      <c r="X5" s="84">
        <f t="shared" si="12"/>
        <v>0</v>
      </c>
      <c r="Y5" s="84">
        <f t="shared" si="12"/>
        <v>0</v>
      </c>
      <c r="Z5" s="84">
        <f t="shared" si="12"/>
        <v>0</v>
      </c>
      <c r="AA5" s="84">
        <f t="shared" si="12"/>
        <v>0</v>
      </c>
      <c r="AB5" s="84">
        <f t="shared" si="12"/>
        <v>0</v>
      </c>
      <c r="AM5" s="32"/>
    </row>
    <row r="6" ht="14.1" customHeight="1" spans="1:39">
      <c r="A6" s="54" t="str">
        <f t="shared" si="1"/>
        <v>监测点2</v>
      </c>
      <c r="B6" s="55">
        <f t="shared" ref="B6:B33" si="13">$B$4</f>
        <v>2017</v>
      </c>
      <c r="C6" s="55">
        <f t="shared" ref="C6:C33" si="14">$C$4</f>
        <v>6</v>
      </c>
      <c r="D6" s="56">
        <v>3</v>
      </c>
      <c r="E6" s="57"/>
      <c r="F6" s="58"/>
      <c r="G6" s="58"/>
      <c r="H6" s="58"/>
      <c r="I6" s="58"/>
      <c r="J6" s="75"/>
      <c r="K6" s="72" t="str">
        <f t="shared" si="2"/>
        <v/>
      </c>
      <c r="L6" s="73" t="str">
        <f t="shared" si="3"/>
        <v/>
      </c>
      <c r="M6" s="73" t="str">
        <f t="shared" si="4"/>
        <v/>
      </c>
      <c r="N6" s="73" t="str">
        <f t="shared" si="5"/>
        <v/>
      </c>
      <c r="O6" s="73" t="str">
        <f t="shared" si="6"/>
        <v/>
      </c>
      <c r="P6" s="74" t="str">
        <f t="shared" si="7"/>
        <v/>
      </c>
      <c r="Q6" s="85">
        <f t="shared" si="8"/>
        <v>0</v>
      </c>
      <c r="R6" s="86" t="str">
        <f t="shared" si="9"/>
        <v>无效</v>
      </c>
      <c r="S6" s="86" t="str">
        <f t="shared" si="10"/>
        <v/>
      </c>
      <c r="T6" s="87" t="str">
        <f t="shared" si="11"/>
        <v/>
      </c>
      <c r="V6" s="84" t="s">
        <v>20</v>
      </c>
      <c r="W6" s="84" t="e">
        <f t="shared" ref="W6:Y6" si="15">ROUND(AVERAGE(E4:E34),0)-(MOD(AVERAGE(E4:E34),2)=0.5)</f>
        <v>#DIV/0!</v>
      </c>
      <c r="X6" s="84" t="e">
        <f t="shared" si="15"/>
        <v>#DIV/0!</v>
      </c>
      <c r="Y6" s="84" t="e">
        <f t="shared" si="15"/>
        <v>#DIV/0!</v>
      </c>
      <c r="Z6" s="84" t="e">
        <f>(ROUND(AVERAGE(H4:H34)*10,0)-(MOD(AVERAGE(H4:H34)*10,2)=0.5))/10</f>
        <v>#DIV/0!</v>
      </c>
      <c r="AA6" s="84" t="e">
        <f>ROUND(AVERAGE(I4:I34),0)-(MOD(AVERAGE(I4:I34),2)=0.5)</f>
        <v>#DIV/0!</v>
      </c>
      <c r="AB6" s="84" t="e">
        <f>ROUND(AVERAGE(J4:J34),0)-(MOD(AVERAGE(J4:J34),2)=0.5)</f>
        <v>#DIV/0!</v>
      </c>
      <c r="AE6" s="32"/>
      <c r="AF6" s="92"/>
      <c r="AG6" s="32"/>
      <c r="AH6" s="32"/>
      <c r="AI6" s="32"/>
      <c r="AJ6" s="32"/>
      <c r="AK6" s="32"/>
      <c r="AL6" s="32"/>
      <c r="AM6" s="32"/>
    </row>
    <row r="7" ht="14.1" customHeight="1" spans="1:39">
      <c r="A7" s="54" t="str">
        <f t="shared" si="1"/>
        <v>监测点2</v>
      </c>
      <c r="B7" s="55">
        <f t="shared" si="13"/>
        <v>2017</v>
      </c>
      <c r="C7" s="55">
        <f t="shared" si="14"/>
        <v>6</v>
      </c>
      <c r="D7" s="56">
        <v>4</v>
      </c>
      <c r="E7" s="57"/>
      <c r="F7" s="58"/>
      <c r="G7" s="58"/>
      <c r="H7" s="58"/>
      <c r="I7" s="58"/>
      <c r="J7" s="75"/>
      <c r="K7" s="72" t="str">
        <f t="shared" si="2"/>
        <v/>
      </c>
      <c r="L7" s="73" t="str">
        <f t="shared" si="3"/>
        <v/>
      </c>
      <c r="M7" s="73" t="str">
        <f t="shared" si="4"/>
        <v/>
      </c>
      <c r="N7" s="73" t="str">
        <f t="shared" si="5"/>
        <v/>
      </c>
      <c r="O7" s="73" t="str">
        <f t="shared" si="6"/>
        <v/>
      </c>
      <c r="P7" s="74" t="str">
        <f t="shared" si="7"/>
        <v/>
      </c>
      <c r="Q7" s="85">
        <f t="shared" si="8"/>
        <v>0</v>
      </c>
      <c r="R7" s="86" t="str">
        <f t="shared" si="9"/>
        <v>无效</v>
      </c>
      <c r="S7" s="86" t="str">
        <f t="shared" si="10"/>
        <v/>
      </c>
      <c r="T7" s="87" t="str">
        <f t="shared" si="11"/>
        <v/>
      </c>
      <c r="V7" s="84" t="s">
        <v>21</v>
      </c>
      <c r="W7" s="84">
        <f>COUNT(E4:E34)</f>
        <v>0</v>
      </c>
      <c r="X7" s="84">
        <f t="shared" ref="X7:AB7" si="16">COUNT(F4:F34)</f>
        <v>0</v>
      </c>
      <c r="Y7" s="84">
        <f t="shared" si="16"/>
        <v>0</v>
      </c>
      <c r="Z7" s="84">
        <f t="shared" si="16"/>
        <v>0</v>
      </c>
      <c r="AA7" s="84">
        <f t="shared" si="16"/>
        <v>0</v>
      </c>
      <c r="AB7" s="84">
        <f t="shared" si="16"/>
        <v>0</v>
      </c>
      <c r="AE7" s="32"/>
      <c r="AF7" s="32"/>
      <c r="AG7" s="32"/>
      <c r="AH7" s="32"/>
      <c r="AI7" s="32"/>
      <c r="AJ7" s="32"/>
      <c r="AK7" s="32"/>
      <c r="AL7" s="32"/>
      <c r="AM7" s="32"/>
    </row>
    <row r="8" ht="14.1" customHeight="1" spans="1:39">
      <c r="A8" s="54" t="str">
        <f t="shared" si="1"/>
        <v>监测点2</v>
      </c>
      <c r="B8" s="55">
        <f t="shared" si="13"/>
        <v>2017</v>
      </c>
      <c r="C8" s="55">
        <f t="shared" si="14"/>
        <v>6</v>
      </c>
      <c r="D8" s="56">
        <v>5</v>
      </c>
      <c r="E8" s="57"/>
      <c r="F8" s="58"/>
      <c r="G8" s="58"/>
      <c r="H8" s="58"/>
      <c r="I8" s="58"/>
      <c r="J8" s="75"/>
      <c r="K8" s="72" t="str">
        <f t="shared" si="2"/>
        <v/>
      </c>
      <c r="L8" s="73" t="str">
        <f t="shared" si="3"/>
        <v/>
      </c>
      <c r="M8" s="73" t="str">
        <f t="shared" si="4"/>
        <v/>
      </c>
      <c r="N8" s="73" t="str">
        <f t="shared" si="5"/>
        <v/>
      </c>
      <c r="O8" s="73" t="str">
        <f t="shared" si="6"/>
        <v/>
      </c>
      <c r="P8" s="74" t="str">
        <f t="shared" si="7"/>
        <v/>
      </c>
      <c r="Q8" s="85">
        <f t="shared" si="8"/>
        <v>0</v>
      </c>
      <c r="R8" s="86" t="str">
        <f t="shared" si="9"/>
        <v>无效</v>
      </c>
      <c r="S8" s="86" t="str">
        <f t="shared" si="10"/>
        <v/>
      </c>
      <c r="T8" s="87" t="str">
        <f t="shared" si="11"/>
        <v/>
      </c>
      <c r="V8" s="84" t="s">
        <v>22</v>
      </c>
      <c r="W8" s="84">
        <f>COUNTIF(E4:E34,"&gt;150")</f>
        <v>0</v>
      </c>
      <c r="X8" s="84">
        <f>COUNTIF(F4:F34,"&gt;80")</f>
        <v>0</v>
      </c>
      <c r="Y8" s="84">
        <f>COUNTIF(G4:G34,"&gt;150")</f>
        <v>0</v>
      </c>
      <c r="Z8" s="84">
        <f>COUNTIF(H4:H34,"&gt;4")</f>
        <v>0</v>
      </c>
      <c r="AA8" s="84">
        <f>COUNTIF(I4:I34,"&gt;160")</f>
        <v>0</v>
      </c>
      <c r="AB8" s="84">
        <f>COUNTIF(J4:J34,"&gt;75")</f>
        <v>0</v>
      </c>
      <c r="AE8" s="32"/>
      <c r="AF8" s="32"/>
      <c r="AG8" s="32"/>
      <c r="AH8" s="32"/>
      <c r="AI8" s="32"/>
      <c r="AJ8" s="32"/>
      <c r="AK8" s="32"/>
      <c r="AL8" s="32"/>
      <c r="AM8" s="32"/>
    </row>
    <row r="9" ht="14.1" customHeight="1" spans="1:39">
      <c r="A9" s="54" t="str">
        <f t="shared" si="1"/>
        <v>监测点2</v>
      </c>
      <c r="B9" s="55">
        <f t="shared" si="13"/>
        <v>2017</v>
      </c>
      <c r="C9" s="55">
        <f t="shared" si="14"/>
        <v>6</v>
      </c>
      <c r="D9" s="56">
        <v>6</v>
      </c>
      <c r="E9" s="57"/>
      <c r="F9" s="58"/>
      <c r="G9" s="58"/>
      <c r="H9" s="58"/>
      <c r="I9" s="58"/>
      <c r="J9" s="75"/>
      <c r="K9" s="72" t="str">
        <f t="shared" si="2"/>
        <v/>
      </c>
      <c r="L9" s="73" t="str">
        <f t="shared" si="3"/>
        <v/>
      </c>
      <c r="M9" s="73" t="str">
        <f t="shared" si="4"/>
        <v/>
      </c>
      <c r="N9" s="73" t="str">
        <f t="shared" si="5"/>
        <v/>
      </c>
      <c r="O9" s="73" t="str">
        <f t="shared" si="6"/>
        <v/>
      </c>
      <c r="P9" s="74" t="str">
        <f t="shared" si="7"/>
        <v/>
      </c>
      <c r="Q9" s="85">
        <f t="shared" si="8"/>
        <v>0</v>
      </c>
      <c r="R9" s="86" t="str">
        <f t="shared" si="9"/>
        <v>无效</v>
      </c>
      <c r="S9" s="86" t="str">
        <f t="shared" si="10"/>
        <v/>
      </c>
      <c r="T9" s="87" t="str">
        <f t="shared" si="11"/>
        <v/>
      </c>
      <c r="V9" s="84" t="s">
        <v>23</v>
      </c>
      <c r="W9" s="88" t="e">
        <f>W8/W7</f>
        <v>#DIV/0!</v>
      </c>
      <c r="X9" s="88" t="e">
        <f t="shared" ref="X9:AB9" si="17">X8/X7</f>
        <v>#DIV/0!</v>
      </c>
      <c r="Y9" s="88" t="e">
        <f t="shared" si="17"/>
        <v>#DIV/0!</v>
      </c>
      <c r="Z9" s="88" t="e">
        <f t="shared" si="17"/>
        <v>#DIV/0!</v>
      </c>
      <c r="AA9" s="88" t="e">
        <f t="shared" si="17"/>
        <v>#DIV/0!</v>
      </c>
      <c r="AB9" s="88" t="e">
        <f t="shared" si="17"/>
        <v>#DIV/0!</v>
      </c>
      <c r="AE9" s="32"/>
      <c r="AF9" s="32"/>
      <c r="AG9" s="32"/>
      <c r="AH9" s="32"/>
      <c r="AI9" s="32"/>
      <c r="AJ9" s="32"/>
      <c r="AK9" s="32"/>
      <c r="AL9" s="32"/>
      <c r="AM9" s="32"/>
    </row>
    <row r="10" ht="14.1" customHeight="1" spans="1:28">
      <c r="A10" s="54" t="str">
        <f t="shared" si="1"/>
        <v>监测点2</v>
      </c>
      <c r="B10" s="55">
        <f t="shared" si="13"/>
        <v>2017</v>
      </c>
      <c r="C10" s="55">
        <f t="shared" si="14"/>
        <v>6</v>
      </c>
      <c r="D10" s="51">
        <v>7</v>
      </c>
      <c r="E10" s="57"/>
      <c r="F10" s="58"/>
      <c r="G10" s="58"/>
      <c r="H10" s="58"/>
      <c r="I10" s="58"/>
      <c r="J10" s="75"/>
      <c r="K10" s="72" t="str">
        <f t="shared" si="2"/>
        <v/>
      </c>
      <c r="L10" s="73" t="str">
        <f t="shared" si="3"/>
        <v/>
      </c>
      <c r="M10" s="73" t="str">
        <f t="shared" si="4"/>
        <v/>
      </c>
      <c r="N10" s="73" t="str">
        <f t="shared" si="5"/>
        <v/>
      </c>
      <c r="O10" s="73" t="str">
        <f t="shared" si="6"/>
        <v/>
      </c>
      <c r="P10" s="74" t="str">
        <f t="shared" si="7"/>
        <v/>
      </c>
      <c r="Q10" s="85">
        <f t="shared" si="8"/>
        <v>0</v>
      </c>
      <c r="R10" s="86" t="str">
        <f t="shared" si="9"/>
        <v>无效</v>
      </c>
      <c r="S10" s="86" t="str">
        <f t="shared" si="10"/>
        <v/>
      </c>
      <c r="T10" s="87" t="str">
        <f t="shared" si="11"/>
        <v/>
      </c>
      <c r="V10" s="84"/>
      <c r="W10" s="84"/>
      <c r="X10" s="84"/>
      <c r="Y10" s="84"/>
      <c r="Z10" s="84"/>
      <c r="AA10" s="84"/>
      <c r="AB10" s="84"/>
    </row>
    <row r="11" ht="14.1" customHeight="1" spans="1:28">
      <c r="A11" s="54" t="str">
        <f t="shared" si="1"/>
        <v>监测点2</v>
      </c>
      <c r="B11" s="55">
        <f t="shared" si="13"/>
        <v>2017</v>
      </c>
      <c r="C11" s="55">
        <f t="shared" si="14"/>
        <v>6</v>
      </c>
      <c r="D11" s="56">
        <v>8</v>
      </c>
      <c r="E11" s="57"/>
      <c r="F11" s="58"/>
      <c r="G11" s="58"/>
      <c r="H11" s="58"/>
      <c r="I11" s="58"/>
      <c r="J11" s="75"/>
      <c r="K11" s="72" t="str">
        <f t="shared" si="2"/>
        <v/>
      </c>
      <c r="L11" s="73" t="str">
        <f t="shared" si="3"/>
        <v/>
      </c>
      <c r="M11" s="73" t="str">
        <f t="shared" si="4"/>
        <v/>
      </c>
      <c r="N11" s="73" t="str">
        <f t="shared" si="5"/>
        <v/>
      </c>
      <c r="O11" s="73" t="str">
        <f t="shared" si="6"/>
        <v/>
      </c>
      <c r="P11" s="74" t="str">
        <f t="shared" si="7"/>
        <v/>
      </c>
      <c r="Q11" s="85">
        <f t="shared" si="8"/>
        <v>0</v>
      </c>
      <c r="R11" s="86" t="str">
        <f t="shared" si="9"/>
        <v>无效</v>
      </c>
      <c r="S11" s="86" t="str">
        <f t="shared" si="10"/>
        <v/>
      </c>
      <c r="T11" s="87" t="str">
        <f t="shared" si="11"/>
        <v/>
      </c>
      <c r="V11" s="84" t="s">
        <v>24</v>
      </c>
      <c r="W11" s="84" t="s">
        <v>25</v>
      </c>
      <c r="X11" s="84" t="s">
        <v>26</v>
      </c>
      <c r="Y11" s="84" t="s">
        <v>27</v>
      </c>
      <c r="Z11" s="84" t="s">
        <v>28</v>
      </c>
      <c r="AA11" s="84" t="s">
        <v>29</v>
      </c>
      <c r="AB11" s="84" t="s">
        <v>30</v>
      </c>
    </row>
    <row r="12" ht="14.1" customHeight="1" spans="1:28">
      <c r="A12" s="54" t="str">
        <f t="shared" si="1"/>
        <v>监测点2</v>
      </c>
      <c r="B12" s="55">
        <f t="shared" si="13"/>
        <v>2017</v>
      </c>
      <c r="C12" s="55">
        <f t="shared" si="14"/>
        <v>6</v>
      </c>
      <c r="D12" s="56">
        <v>9</v>
      </c>
      <c r="E12" s="57"/>
      <c r="F12" s="58"/>
      <c r="G12" s="58"/>
      <c r="H12" s="58"/>
      <c r="I12" s="58"/>
      <c r="J12" s="75"/>
      <c r="K12" s="72" t="str">
        <f t="shared" si="2"/>
        <v/>
      </c>
      <c r="L12" s="73" t="str">
        <f t="shared" si="3"/>
        <v/>
      </c>
      <c r="M12" s="73" t="str">
        <f t="shared" si="4"/>
        <v/>
      </c>
      <c r="N12" s="73" t="str">
        <f t="shared" si="5"/>
        <v/>
      </c>
      <c r="O12" s="73" t="str">
        <f t="shared" si="6"/>
        <v/>
      </c>
      <c r="P12" s="74" t="str">
        <f t="shared" si="7"/>
        <v/>
      </c>
      <c r="Q12" s="85">
        <f t="shared" si="8"/>
        <v>0</v>
      </c>
      <c r="R12" s="86" t="str">
        <f t="shared" si="9"/>
        <v>无效</v>
      </c>
      <c r="S12" s="86" t="str">
        <f t="shared" si="10"/>
        <v/>
      </c>
      <c r="T12" s="87" t="str">
        <f t="shared" si="11"/>
        <v/>
      </c>
      <c r="V12" s="84">
        <f>COUNT(Q4:Q34)</f>
        <v>30</v>
      </c>
      <c r="W12" s="84">
        <f>COUNTIF(R4:R34,"优")</f>
        <v>0</v>
      </c>
      <c r="X12" s="84">
        <f>COUNTIF(R4:R34,"良")</f>
        <v>0</v>
      </c>
      <c r="Y12" s="84">
        <f>COUNTIF(R4:R34,"轻度污染")</f>
        <v>0</v>
      </c>
      <c r="Z12" s="84">
        <f>COUNTIF(R4:R34,"中度污染")</f>
        <v>0</v>
      </c>
      <c r="AA12" s="84">
        <f>COUNTIF(R4:R34,"重度污染")</f>
        <v>0</v>
      </c>
      <c r="AB12" s="84">
        <f>COUNTIF(R4:R34,"严重污染")</f>
        <v>0</v>
      </c>
    </row>
    <row r="13" ht="14.1" customHeight="1" spans="1:28">
      <c r="A13" s="54" t="str">
        <f t="shared" si="1"/>
        <v>监测点2</v>
      </c>
      <c r="B13" s="55">
        <f t="shared" si="13"/>
        <v>2017</v>
      </c>
      <c r="C13" s="55">
        <f t="shared" si="14"/>
        <v>6</v>
      </c>
      <c r="D13" s="56">
        <v>10</v>
      </c>
      <c r="E13" s="57"/>
      <c r="F13" s="58"/>
      <c r="G13" s="58"/>
      <c r="H13" s="58"/>
      <c r="I13" s="76"/>
      <c r="J13" s="75"/>
      <c r="K13" s="72" t="str">
        <f t="shared" si="2"/>
        <v/>
      </c>
      <c r="L13" s="73" t="str">
        <f t="shared" si="3"/>
        <v/>
      </c>
      <c r="M13" s="73" t="str">
        <f t="shared" si="4"/>
        <v/>
      </c>
      <c r="N13" s="73" t="str">
        <f t="shared" si="5"/>
        <v/>
      </c>
      <c r="O13" s="73" t="str">
        <f t="shared" si="6"/>
        <v/>
      </c>
      <c r="P13" s="74" t="str">
        <f t="shared" si="7"/>
        <v/>
      </c>
      <c r="Q13" s="85">
        <f t="shared" si="8"/>
        <v>0</v>
      </c>
      <c r="R13" s="86" t="str">
        <f t="shared" si="9"/>
        <v>无效</v>
      </c>
      <c r="S13" s="86" t="str">
        <f t="shared" si="10"/>
        <v/>
      </c>
      <c r="T13" s="87" t="str">
        <f t="shared" si="11"/>
        <v/>
      </c>
      <c r="V13" s="84"/>
      <c r="W13" s="84"/>
      <c r="X13" s="84"/>
      <c r="Y13" s="84"/>
      <c r="Z13" s="84"/>
      <c r="AA13" s="84"/>
      <c r="AB13" s="84"/>
    </row>
    <row r="14" ht="14.1" customHeight="1" spans="1:28">
      <c r="A14" s="54" t="str">
        <f t="shared" si="1"/>
        <v>监测点2</v>
      </c>
      <c r="B14" s="55">
        <f t="shared" si="13"/>
        <v>2017</v>
      </c>
      <c r="C14" s="55">
        <f t="shared" si="14"/>
        <v>6</v>
      </c>
      <c r="D14" s="56">
        <v>11</v>
      </c>
      <c r="E14" s="57"/>
      <c r="F14" s="58"/>
      <c r="G14" s="58"/>
      <c r="H14" s="58"/>
      <c r="I14" s="76"/>
      <c r="J14" s="75"/>
      <c r="K14" s="72" t="str">
        <f t="shared" si="2"/>
        <v/>
      </c>
      <c r="L14" s="73" t="str">
        <f t="shared" si="3"/>
        <v/>
      </c>
      <c r="M14" s="73" t="str">
        <f t="shared" si="4"/>
        <v/>
      </c>
      <c r="N14" s="73" t="str">
        <f t="shared" si="5"/>
        <v/>
      </c>
      <c r="O14" s="73" t="str">
        <f t="shared" si="6"/>
        <v/>
      </c>
      <c r="P14" s="74" t="str">
        <f t="shared" si="7"/>
        <v/>
      </c>
      <c r="Q14" s="85">
        <f t="shared" si="8"/>
        <v>0</v>
      </c>
      <c r="R14" s="86" t="str">
        <f t="shared" si="9"/>
        <v>无效</v>
      </c>
      <c r="S14" s="86" t="str">
        <f t="shared" si="10"/>
        <v/>
      </c>
      <c r="T14" s="87" t="str">
        <f t="shared" si="11"/>
        <v/>
      </c>
      <c r="V14" s="84" t="s">
        <v>31</v>
      </c>
      <c r="W14" s="84" t="s">
        <v>32</v>
      </c>
      <c r="X14" s="84" t="s">
        <v>33</v>
      </c>
      <c r="Y14" s="84" t="s">
        <v>34</v>
      </c>
      <c r="Z14" s="84"/>
      <c r="AA14" s="84"/>
      <c r="AB14" s="84"/>
    </row>
    <row r="15" ht="14.1" customHeight="1" spans="1:28">
      <c r="A15" s="54" t="str">
        <f t="shared" si="1"/>
        <v>监测点2</v>
      </c>
      <c r="B15" s="55">
        <f t="shared" si="13"/>
        <v>2017</v>
      </c>
      <c r="C15" s="55">
        <f t="shared" si="14"/>
        <v>6</v>
      </c>
      <c r="D15" s="56">
        <v>12</v>
      </c>
      <c r="E15" s="57"/>
      <c r="F15" s="58"/>
      <c r="G15" s="58"/>
      <c r="H15" s="58"/>
      <c r="I15" s="58"/>
      <c r="J15" s="75"/>
      <c r="K15" s="72" t="str">
        <f t="shared" si="2"/>
        <v/>
      </c>
      <c r="L15" s="73" t="str">
        <f t="shared" si="3"/>
        <v/>
      </c>
      <c r="M15" s="73" t="str">
        <f t="shared" si="4"/>
        <v/>
      </c>
      <c r="N15" s="73" t="str">
        <f t="shared" si="5"/>
        <v/>
      </c>
      <c r="O15" s="73" t="str">
        <f t="shared" si="6"/>
        <v/>
      </c>
      <c r="P15" s="74" t="str">
        <f t="shared" si="7"/>
        <v/>
      </c>
      <c r="Q15" s="85">
        <f t="shared" si="8"/>
        <v>0</v>
      </c>
      <c r="R15" s="86" t="str">
        <f t="shared" si="9"/>
        <v>无效</v>
      </c>
      <c r="S15" s="86" t="str">
        <f t="shared" si="10"/>
        <v/>
      </c>
      <c r="T15" s="87" t="str">
        <f t="shared" si="11"/>
        <v/>
      </c>
      <c r="V15" s="84">
        <f>SUM(W12:AB12)</f>
        <v>0</v>
      </c>
      <c r="W15" s="84">
        <f>COUNTIF(R4:R34,"无效")</f>
        <v>30</v>
      </c>
      <c r="X15" s="88" t="e">
        <f>(W12+X12)/SUM(W12:AB12)</f>
        <v>#DIV/0!</v>
      </c>
      <c r="Y15" s="84" t="str">
        <f>IF(AND(C4=2,SUM(W12:AB12)&gt;=25),"是",IF(SUM(W12:AB12)&gt;=27,"是","否"))</f>
        <v>否</v>
      </c>
      <c r="Z15" s="84"/>
      <c r="AA15" s="84"/>
      <c r="AB15" s="84"/>
    </row>
    <row r="16" ht="14.1" customHeight="1" spans="1:20">
      <c r="A16" s="54" t="str">
        <f t="shared" si="1"/>
        <v>监测点2</v>
      </c>
      <c r="B16" s="55">
        <f t="shared" si="13"/>
        <v>2017</v>
      </c>
      <c r="C16" s="55">
        <f t="shared" si="14"/>
        <v>6</v>
      </c>
      <c r="D16" s="51">
        <v>13</v>
      </c>
      <c r="E16" s="57"/>
      <c r="F16" s="58"/>
      <c r="G16" s="58"/>
      <c r="H16" s="58"/>
      <c r="I16" s="58"/>
      <c r="J16" s="75"/>
      <c r="K16" s="72" t="str">
        <f t="shared" si="2"/>
        <v/>
      </c>
      <c r="L16" s="73" t="str">
        <f t="shared" si="3"/>
        <v/>
      </c>
      <c r="M16" s="73" t="str">
        <f t="shared" si="4"/>
        <v/>
      </c>
      <c r="N16" s="73" t="str">
        <f t="shared" si="5"/>
        <v/>
      </c>
      <c r="O16" s="73" t="str">
        <f t="shared" si="6"/>
        <v/>
      </c>
      <c r="P16" s="74" t="str">
        <f t="shared" si="7"/>
        <v/>
      </c>
      <c r="Q16" s="85">
        <f t="shared" si="8"/>
        <v>0</v>
      </c>
      <c r="R16" s="86" t="str">
        <f t="shared" si="9"/>
        <v>无效</v>
      </c>
      <c r="S16" s="86" t="str">
        <f t="shared" si="10"/>
        <v/>
      </c>
      <c r="T16" s="87" t="str">
        <f t="shared" si="11"/>
        <v/>
      </c>
    </row>
    <row r="17" ht="14.1" customHeight="1" spans="1:20">
      <c r="A17" s="54" t="str">
        <f t="shared" si="1"/>
        <v>监测点2</v>
      </c>
      <c r="B17" s="55">
        <f t="shared" si="13"/>
        <v>2017</v>
      </c>
      <c r="C17" s="55">
        <f t="shared" si="14"/>
        <v>6</v>
      </c>
      <c r="D17" s="56">
        <v>14</v>
      </c>
      <c r="E17" s="57"/>
      <c r="F17" s="58"/>
      <c r="G17" s="58"/>
      <c r="H17" s="58"/>
      <c r="I17" s="58"/>
      <c r="J17" s="75"/>
      <c r="K17" s="72" t="str">
        <f t="shared" si="2"/>
        <v/>
      </c>
      <c r="L17" s="73" t="str">
        <f t="shared" si="3"/>
        <v/>
      </c>
      <c r="M17" s="73" t="str">
        <f t="shared" si="4"/>
        <v/>
      </c>
      <c r="N17" s="73" t="str">
        <f t="shared" si="5"/>
        <v/>
      </c>
      <c r="O17" s="73" t="str">
        <f t="shared" si="6"/>
        <v/>
      </c>
      <c r="P17" s="74" t="str">
        <f t="shared" si="7"/>
        <v/>
      </c>
      <c r="Q17" s="85">
        <f t="shared" si="8"/>
        <v>0</v>
      </c>
      <c r="R17" s="86" t="str">
        <f t="shared" si="9"/>
        <v>无效</v>
      </c>
      <c r="S17" s="86" t="str">
        <f t="shared" si="10"/>
        <v/>
      </c>
      <c r="T17" s="87" t="str">
        <f t="shared" si="11"/>
        <v/>
      </c>
    </row>
    <row r="18" ht="14.1" customHeight="1" spans="1:20">
      <c r="A18" s="54" t="str">
        <f t="shared" si="1"/>
        <v>监测点2</v>
      </c>
      <c r="B18" s="55">
        <f t="shared" si="13"/>
        <v>2017</v>
      </c>
      <c r="C18" s="55">
        <f t="shared" si="14"/>
        <v>6</v>
      </c>
      <c r="D18" s="56">
        <v>15</v>
      </c>
      <c r="E18" s="57"/>
      <c r="F18" s="58"/>
      <c r="G18" s="58"/>
      <c r="H18" s="58"/>
      <c r="I18" s="58"/>
      <c r="J18" s="75"/>
      <c r="K18" s="72" t="str">
        <f t="shared" si="2"/>
        <v/>
      </c>
      <c r="L18" s="73" t="str">
        <f t="shared" si="3"/>
        <v/>
      </c>
      <c r="M18" s="73" t="str">
        <f t="shared" si="4"/>
        <v/>
      </c>
      <c r="N18" s="73" t="str">
        <f t="shared" si="5"/>
        <v/>
      </c>
      <c r="O18" s="73" t="str">
        <f t="shared" si="6"/>
        <v/>
      </c>
      <c r="P18" s="74" t="str">
        <f t="shared" si="7"/>
        <v/>
      </c>
      <c r="Q18" s="85">
        <f t="shared" si="8"/>
        <v>0</v>
      </c>
      <c r="R18" s="86" t="str">
        <f t="shared" si="9"/>
        <v>无效</v>
      </c>
      <c r="S18" s="86" t="str">
        <f t="shared" si="10"/>
        <v/>
      </c>
      <c r="T18" s="87" t="str">
        <f t="shared" si="11"/>
        <v/>
      </c>
    </row>
    <row r="19" ht="14.1" customHeight="1" spans="1:20">
      <c r="A19" s="54" t="str">
        <f t="shared" si="1"/>
        <v>监测点2</v>
      </c>
      <c r="B19" s="55">
        <f t="shared" si="13"/>
        <v>2017</v>
      </c>
      <c r="C19" s="55">
        <f t="shared" si="14"/>
        <v>6</v>
      </c>
      <c r="D19" s="56">
        <v>16</v>
      </c>
      <c r="E19" s="57"/>
      <c r="F19" s="58"/>
      <c r="G19" s="58"/>
      <c r="H19" s="58"/>
      <c r="I19" s="58"/>
      <c r="J19" s="75"/>
      <c r="K19" s="72" t="str">
        <f t="shared" si="2"/>
        <v/>
      </c>
      <c r="L19" s="73" t="str">
        <f t="shared" si="3"/>
        <v/>
      </c>
      <c r="M19" s="73" t="str">
        <f t="shared" si="4"/>
        <v/>
      </c>
      <c r="N19" s="73" t="str">
        <f t="shared" si="5"/>
        <v/>
      </c>
      <c r="O19" s="73" t="str">
        <f t="shared" si="6"/>
        <v/>
      </c>
      <c r="P19" s="74" t="str">
        <f t="shared" si="7"/>
        <v/>
      </c>
      <c r="Q19" s="85">
        <f t="shared" si="8"/>
        <v>0</v>
      </c>
      <c r="R19" s="86" t="str">
        <f t="shared" si="9"/>
        <v>无效</v>
      </c>
      <c r="S19" s="86" t="str">
        <f t="shared" si="10"/>
        <v/>
      </c>
      <c r="T19" s="87" t="str">
        <f t="shared" si="11"/>
        <v/>
      </c>
    </row>
    <row r="20" ht="14.1" customHeight="1" spans="1:20">
      <c r="A20" s="54" t="str">
        <f t="shared" si="1"/>
        <v>监测点2</v>
      </c>
      <c r="B20" s="55">
        <f t="shared" si="13"/>
        <v>2017</v>
      </c>
      <c r="C20" s="55">
        <f t="shared" si="14"/>
        <v>6</v>
      </c>
      <c r="D20" s="56">
        <v>17</v>
      </c>
      <c r="E20" s="57"/>
      <c r="F20" s="58"/>
      <c r="G20" s="58"/>
      <c r="H20" s="58"/>
      <c r="I20" s="58"/>
      <c r="J20" s="75"/>
      <c r="K20" s="72" t="str">
        <f t="shared" si="2"/>
        <v/>
      </c>
      <c r="L20" s="73" t="str">
        <f t="shared" si="3"/>
        <v/>
      </c>
      <c r="M20" s="73" t="str">
        <f t="shared" si="4"/>
        <v/>
      </c>
      <c r="N20" s="73" t="str">
        <f t="shared" si="5"/>
        <v/>
      </c>
      <c r="O20" s="73" t="str">
        <f t="shared" si="6"/>
        <v/>
      </c>
      <c r="P20" s="74" t="str">
        <f t="shared" si="7"/>
        <v/>
      </c>
      <c r="Q20" s="85">
        <f t="shared" si="8"/>
        <v>0</v>
      </c>
      <c r="R20" s="86" t="str">
        <f t="shared" si="9"/>
        <v>无效</v>
      </c>
      <c r="S20" s="86" t="str">
        <f t="shared" si="10"/>
        <v/>
      </c>
      <c r="T20" s="87" t="str">
        <f t="shared" si="11"/>
        <v/>
      </c>
    </row>
    <row r="21" ht="14.1" customHeight="1" spans="1:20">
      <c r="A21" s="54" t="str">
        <f t="shared" si="1"/>
        <v>监测点2</v>
      </c>
      <c r="B21" s="55">
        <f t="shared" si="13"/>
        <v>2017</v>
      </c>
      <c r="C21" s="55">
        <f t="shared" si="14"/>
        <v>6</v>
      </c>
      <c r="D21" s="56">
        <v>18</v>
      </c>
      <c r="E21" s="57"/>
      <c r="F21" s="58"/>
      <c r="G21" s="58"/>
      <c r="H21" s="58"/>
      <c r="I21" s="58"/>
      <c r="J21" s="75"/>
      <c r="K21" s="72" t="str">
        <f t="shared" si="2"/>
        <v/>
      </c>
      <c r="L21" s="73" t="str">
        <f t="shared" si="3"/>
        <v/>
      </c>
      <c r="M21" s="73" t="str">
        <f t="shared" si="4"/>
        <v/>
      </c>
      <c r="N21" s="73" t="str">
        <f t="shared" si="5"/>
        <v/>
      </c>
      <c r="O21" s="73" t="str">
        <f t="shared" si="6"/>
        <v/>
      </c>
      <c r="P21" s="74" t="str">
        <f t="shared" si="7"/>
        <v/>
      </c>
      <c r="Q21" s="85">
        <f t="shared" si="8"/>
        <v>0</v>
      </c>
      <c r="R21" s="86" t="str">
        <f t="shared" si="9"/>
        <v>无效</v>
      </c>
      <c r="S21" s="86" t="str">
        <f t="shared" si="10"/>
        <v/>
      </c>
      <c r="T21" s="87" t="str">
        <f t="shared" si="11"/>
        <v/>
      </c>
    </row>
    <row r="22" ht="14.1" customHeight="1" spans="1:20">
      <c r="A22" s="54" t="str">
        <f t="shared" si="1"/>
        <v>监测点2</v>
      </c>
      <c r="B22" s="55">
        <f t="shared" si="13"/>
        <v>2017</v>
      </c>
      <c r="C22" s="55">
        <f t="shared" si="14"/>
        <v>6</v>
      </c>
      <c r="D22" s="51">
        <v>19</v>
      </c>
      <c r="E22" s="57"/>
      <c r="F22" s="58"/>
      <c r="G22" s="58"/>
      <c r="H22" s="58"/>
      <c r="I22" s="58"/>
      <c r="J22" s="75"/>
      <c r="K22" s="72" t="str">
        <f t="shared" si="2"/>
        <v/>
      </c>
      <c r="L22" s="73" t="str">
        <f t="shared" si="3"/>
        <v/>
      </c>
      <c r="M22" s="73" t="str">
        <f t="shared" si="4"/>
        <v/>
      </c>
      <c r="N22" s="73" t="str">
        <f t="shared" si="5"/>
        <v/>
      </c>
      <c r="O22" s="73" t="str">
        <f t="shared" si="6"/>
        <v/>
      </c>
      <c r="P22" s="74" t="str">
        <f t="shared" si="7"/>
        <v/>
      </c>
      <c r="Q22" s="85">
        <f t="shared" si="8"/>
        <v>0</v>
      </c>
      <c r="R22" s="86" t="str">
        <f t="shared" si="9"/>
        <v>无效</v>
      </c>
      <c r="S22" s="86" t="str">
        <f t="shared" si="10"/>
        <v/>
      </c>
      <c r="T22" s="87" t="str">
        <f t="shared" si="11"/>
        <v/>
      </c>
    </row>
    <row r="23" ht="14.1" customHeight="1" spans="1:20">
      <c r="A23" s="54" t="str">
        <f t="shared" si="1"/>
        <v>监测点2</v>
      </c>
      <c r="B23" s="55">
        <f t="shared" si="13"/>
        <v>2017</v>
      </c>
      <c r="C23" s="55">
        <f t="shared" si="14"/>
        <v>6</v>
      </c>
      <c r="D23" s="56">
        <v>20</v>
      </c>
      <c r="E23" s="57"/>
      <c r="F23" s="58"/>
      <c r="G23" s="58"/>
      <c r="H23" s="58"/>
      <c r="I23" s="58"/>
      <c r="J23" s="75"/>
      <c r="K23" s="72" t="str">
        <f t="shared" si="2"/>
        <v/>
      </c>
      <c r="L23" s="73" t="str">
        <f t="shared" si="3"/>
        <v/>
      </c>
      <c r="M23" s="73" t="str">
        <f t="shared" si="4"/>
        <v/>
      </c>
      <c r="N23" s="73" t="str">
        <f t="shared" si="5"/>
        <v/>
      </c>
      <c r="O23" s="73" t="str">
        <f t="shared" si="6"/>
        <v/>
      </c>
      <c r="P23" s="74" t="str">
        <f t="shared" si="7"/>
        <v/>
      </c>
      <c r="Q23" s="85">
        <f t="shared" si="8"/>
        <v>0</v>
      </c>
      <c r="R23" s="86" t="str">
        <f t="shared" si="9"/>
        <v>无效</v>
      </c>
      <c r="S23" s="86" t="str">
        <f t="shared" si="10"/>
        <v/>
      </c>
      <c r="T23" s="87" t="str">
        <f t="shared" si="11"/>
        <v/>
      </c>
    </row>
    <row r="24" ht="14.1" customHeight="1" spans="1:20">
      <c r="A24" s="54" t="str">
        <f t="shared" si="1"/>
        <v>监测点2</v>
      </c>
      <c r="B24" s="55">
        <f t="shared" si="13"/>
        <v>2017</v>
      </c>
      <c r="C24" s="55">
        <f t="shared" si="14"/>
        <v>6</v>
      </c>
      <c r="D24" s="56">
        <v>21</v>
      </c>
      <c r="E24" s="57"/>
      <c r="F24" s="58"/>
      <c r="G24" s="58"/>
      <c r="H24" s="58"/>
      <c r="I24" s="58"/>
      <c r="J24" s="75"/>
      <c r="K24" s="72" t="str">
        <f t="shared" si="2"/>
        <v/>
      </c>
      <c r="L24" s="73" t="str">
        <f t="shared" si="3"/>
        <v/>
      </c>
      <c r="M24" s="73" t="str">
        <f t="shared" si="4"/>
        <v/>
      </c>
      <c r="N24" s="73" t="str">
        <f t="shared" si="5"/>
        <v/>
      </c>
      <c r="O24" s="73" t="str">
        <f t="shared" si="6"/>
        <v/>
      </c>
      <c r="P24" s="74" t="str">
        <f t="shared" si="7"/>
        <v/>
      </c>
      <c r="Q24" s="85">
        <f t="shared" si="8"/>
        <v>0</v>
      </c>
      <c r="R24" s="86" t="str">
        <f t="shared" si="9"/>
        <v>无效</v>
      </c>
      <c r="S24" s="86" t="str">
        <f t="shared" si="10"/>
        <v/>
      </c>
      <c r="T24" s="87" t="str">
        <f t="shared" si="11"/>
        <v/>
      </c>
    </row>
    <row r="25" ht="14.1" customHeight="1" spans="1:20">
      <c r="A25" s="54" t="str">
        <f t="shared" si="1"/>
        <v>监测点2</v>
      </c>
      <c r="B25" s="55">
        <f t="shared" si="13"/>
        <v>2017</v>
      </c>
      <c r="C25" s="55">
        <f t="shared" si="14"/>
        <v>6</v>
      </c>
      <c r="D25" s="56">
        <v>22</v>
      </c>
      <c r="E25" s="57"/>
      <c r="F25" s="58"/>
      <c r="G25" s="58"/>
      <c r="H25" s="58"/>
      <c r="I25" s="58"/>
      <c r="J25" s="75"/>
      <c r="K25" s="72" t="str">
        <f t="shared" si="2"/>
        <v/>
      </c>
      <c r="L25" s="73" t="str">
        <f t="shared" si="3"/>
        <v/>
      </c>
      <c r="M25" s="73" t="str">
        <f t="shared" si="4"/>
        <v/>
      </c>
      <c r="N25" s="73" t="str">
        <f t="shared" si="5"/>
        <v/>
      </c>
      <c r="O25" s="73" t="str">
        <f t="shared" si="6"/>
        <v/>
      </c>
      <c r="P25" s="74" t="str">
        <f t="shared" si="7"/>
        <v/>
      </c>
      <c r="Q25" s="85">
        <f t="shared" si="8"/>
        <v>0</v>
      </c>
      <c r="R25" s="86" t="str">
        <f t="shared" si="9"/>
        <v>无效</v>
      </c>
      <c r="S25" s="86" t="str">
        <f t="shared" si="10"/>
        <v/>
      </c>
      <c r="T25" s="87" t="str">
        <f t="shared" si="11"/>
        <v/>
      </c>
    </row>
    <row r="26" ht="14.1" customHeight="1" spans="1:20">
      <c r="A26" s="54" t="str">
        <f t="shared" si="1"/>
        <v>监测点2</v>
      </c>
      <c r="B26" s="55">
        <f t="shared" si="13"/>
        <v>2017</v>
      </c>
      <c r="C26" s="55">
        <f t="shared" si="14"/>
        <v>6</v>
      </c>
      <c r="D26" s="56">
        <v>23</v>
      </c>
      <c r="E26" s="57"/>
      <c r="F26" s="58"/>
      <c r="G26" s="58"/>
      <c r="H26" s="58"/>
      <c r="I26" s="58"/>
      <c r="J26" s="75"/>
      <c r="K26" s="72" t="str">
        <f t="shared" si="2"/>
        <v/>
      </c>
      <c r="L26" s="73" t="str">
        <f t="shared" si="3"/>
        <v/>
      </c>
      <c r="M26" s="73" t="str">
        <f t="shared" si="4"/>
        <v/>
      </c>
      <c r="N26" s="73" t="str">
        <f t="shared" si="5"/>
        <v/>
      </c>
      <c r="O26" s="73" t="str">
        <f t="shared" si="6"/>
        <v/>
      </c>
      <c r="P26" s="74" t="str">
        <f t="shared" si="7"/>
        <v/>
      </c>
      <c r="Q26" s="85">
        <f t="shared" si="8"/>
        <v>0</v>
      </c>
      <c r="R26" s="86" t="str">
        <f t="shared" si="9"/>
        <v>无效</v>
      </c>
      <c r="S26" s="86" t="str">
        <f t="shared" si="10"/>
        <v/>
      </c>
      <c r="T26" s="87" t="str">
        <f t="shared" si="11"/>
        <v/>
      </c>
    </row>
    <row r="27" ht="14.1" customHeight="1" spans="1:20">
      <c r="A27" s="54" t="str">
        <f t="shared" si="1"/>
        <v>监测点2</v>
      </c>
      <c r="B27" s="55">
        <f t="shared" si="13"/>
        <v>2017</v>
      </c>
      <c r="C27" s="55">
        <f t="shared" si="14"/>
        <v>6</v>
      </c>
      <c r="D27" s="56">
        <v>24</v>
      </c>
      <c r="E27" s="57"/>
      <c r="F27" s="58"/>
      <c r="G27" s="58"/>
      <c r="H27" s="58"/>
      <c r="I27" s="58"/>
      <c r="J27" s="75"/>
      <c r="K27" s="72" t="str">
        <f t="shared" si="2"/>
        <v/>
      </c>
      <c r="L27" s="73" t="str">
        <f t="shared" si="3"/>
        <v/>
      </c>
      <c r="M27" s="73" t="str">
        <f t="shared" si="4"/>
        <v/>
      </c>
      <c r="N27" s="73" t="str">
        <f t="shared" si="5"/>
        <v/>
      </c>
      <c r="O27" s="73" t="str">
        <f t="shared" si="6"/>
        <v/>
      </c>
      <c r="P27" s="74" t="str">
        <f t="shared" si="7"/>
        <v/>
      </c>
      <c r="Q27" s="85">
        <f t="shared" si="8"/>
        <v>0</v>
      </c>
      <c r="R27" s="86" t="str">
        <f t="shared" si="9"/>
        <v>无效</v>
      </c>
      <c r="S27" s="86" t="str">
        <f t="shared" si="10"/>
        <v/>
      </c>
      <c r="T27" s="87" t="str">
        <f t="shared" si="11"/>
        <v/>
      </c>
    </row>
    <row r="28" ht="14.1" customHeight="1" spans="1:20">
      <c r="A28" s="54" t="str">
        <f t="shared" si="1"/>
        <v>监测点2</v>
      </c>
      <c r="B28" s="55">
        <f t="shared" si="13"/>
        <v>2017</v>
      </c>
      <c r="C28" s="55">
        <f t="shared" si="14"/>
        <v>6</v>
      </c>
      <c r="D28" s="51">
        <v>25</v>
      </c>
      <c r="E28" s="57"/>
      <c r="F28" s="58"/>
      <c r="G28" s="58"/>
      <c r="H28" s="58"/>
      <c r="I28" s="58"/>
      <c r="J28" s="75"/>
      <c r="K28" s="72" t="str">
        <f t="shared" si="2"/>
        <v/>
      </c>
      <c r="L28" s="73" t="str">
        <f t="shared" si="3"/>
        <v/>
      </c>
      <c r="M28" s="73" t="str">
        <f t="shared" si="4"/>
        <v/>
      </c>
      <c r="N28" s="73" t="str">
        <f t="shared" si="5"/>
        <v/>
      </c>
      <c r="O28" s="73" t="str">
        <f t="shared" si="6"/>
        <v/>
      </c>
      <c r="P28" s="74" t="str">
        <f t="shared" si="7"/>
        <v/>
      </c>
      <c r="Q28" s="85">
        <f t="shared" si="8"/>
        <v>0</v>
      </c>
      <c r="R28" s="86" t="str">
        <f t="shared" si="9"/>
        <v>无效</v>
      </c>
      <c r="S28" s="86" t="str">
        <f t="shared" si="10"/>
        <v/>
      </c>
      <c r="T28" s="87" t="str">
        <f t="shared" si="11"/>
        <v/>
      </c>
    </row>
    <row r="29" ht="14.1" customHeight="1" spans="1:20">
      <c r="A29" s="54" t="str">
        <f t="shared" si="1"/>
        <v>监测点2</v>
      </c>
      <c r="B29" s="55">
        <f t="shared" si="13"/>
        <v>2017</v>
      </c>
      <c r="C29" s="55">
        <f t="shared" si="14"/>
        <v>6</v>
      </c>
      <c r="D29" s="56">
        <v>26</v>
      </c>
      <c r="E29" s="57"/>
      <c r="F29" s="58"/>
      <c r="G29" s="58"/>
      <c r="H29" s="58"/>
      <c r="I29" s="58"/>
      <c r="J29" s="75"/>
      <c r="K29" s="72" t="str">
        <f t="shared" si="2"/>
        <v/>
      </c>
      <c r="L29" s="73" t="str">
        <f t="shared" si="3"/>
        <v/>
      </c>
      <c r="M29" s="73" t="str">
        <f t="shared" si="4"/>
        <v/>
      </c>
      <c r="N29" s="73" t="str">
        <f t="shared" si="5"/>
        <v/>
      </c>
      <c r="O29" s="73" t="str">
        <f t="shared" si="6"/>
        <v/>
      </c>
      <c r="P29" s="74" t="str">
        <f t="shared" si="7"/>
        <v/>
      </c>
      <c r="Q29" s="85">
        <f t="shared" si="8"/>
        <v>0</v>
      </c>
      <c r="R29" s="86" t="str">
        <f t="shared" si="9"/>
        <v>无效</v>
      </c>
      <c r="S29" s="86" t="str">
        <f t="shared" si="10"/>
        <v/>
      </c>
      <c r="T29" s="87" t="str">
        <f t="shared" si="11"/>
        <v/>
      </c>
    </row>
    <row r="30" ht="14.1" customHeight="1" spans="1:20">
      <c r="A30" s="54" t="str">
        <f t="shared" si="1"/>
        <v>监测点2</v>
      </c>
      <c r="B30" s="55">
        <f t="shared" si="13"/>
        <v>2017</v>
      </c>
      <c r="C30" s="55">
        <f t="shared" si="14"/>
        <v>6</v>
      </c>
      <c r="D30" s="56">
        <v>27</v>
      </c>
      <c r="E30" s="57"/>
      <c r="F30" s="58"/>
      <c r="G30" s="58"/>
      <c r="H30" s="58"/>
      <c r="I30" s="58"/>
      <c r="J30" s="75"/>
      <c r="K30" s="72" t="str">
        <f t="shared" si="2"/>
        <v/>
      </c>
      <c r="L30" s="73" t="str">
        <f t="shared" si="3"/>
        <v/>
      </c>
      <c r="M30" s="73" t="str">
        <f t="shared" si="4"/>
        <v/>
      </c>
      <c r="N30" s="73" t="str">
        <f t="shared" si="5"/>
        <v/>
      </c>
      <c r="O30" s="73" t="str">
        <f t="shared" si="6"/>
        <v/>
      </c>
      <c r="P30" s="74" t="str">
        <f t="shared" si="7"/>
        <v/>
      </c>
      <c r="Q30" s="85">
        <f t="shared" si="8"/>
        <v>0</v>
      </c>
      <c r="R30" s="86" t="str">
        <f t="shared" si="9"/>
        <v>无效</v>
      </c>
      <c r="S30" s="86" t="str">
        <f t="shared" si="10"/>
        <v/>
      </c>
      <c r="T30" s="87" t="str">
        <f t="shared" si="11"/>
        <v/>
      </c>
    </row>
    <row r="31" ht="14.1" customHeight="1" spans="1:20">
      <c r="A31" s="54" t="str">
        <f t="shared" si="1"/>
        <v>监测点2</v>
      </c>
      <c r="B31" s="55">
        <f t="shared" si="13"/>
        <v>2017</v>
      </c>
      <c r="C31" s="55">
        <f t="shared" si="14"/>
        <v>6</v>
      </c>
      <c r="D31" s="56">
        <v>28</v>
      </c>
      <c r="E31" s="57"/>
      <c r="F31" s="58"/>
      <c r="G31" s="58"/>
      <c r="H31" s="58"/>
      <c r="I31" s="58"/>
      <c r="J31" s="75"/>
      <c r="K31" s="72" t="str">
        <f t="shared" si="2"/>
        <v/>
      </c>
      <c r="L31" s="73" t="str">
        <f t="shared" si="3"/>
        <v/>
      </c>
      <c r="M31" s="73" t="str">
        <f t="shared" si="4"/>
        <v/>
      </c>
      <c r="N31" s="73" t="str">
        <f t="shared" si="5"/>
        <v/>
      </c>
      <c r="O31" s="73" t="str">
        <f t="shared" si="6"/>
        <v/>
      </c>
      <c r="P31" s="74" t="str">
        <f t="shared" si="7"/>
        <v/>
      </c>
      <c r="Q31" s="85">
        <f t="shared" si="8"/>
        <v>0</v>
      </c>
      <c r="R31" s="86" t="str">
        <f t="shared" si="9"/>
        <v>无效</v>
      </c>
      <c r="S31" s="86" t="str">
        <f t="shared" si="10"/>
        <v/>
      </c>
      <c r="T31" s="87" t="str">
        <f t="shared" si="11"/>
        <v/>
      </c>
    </row>
    <row r="32" ht="14.1" customHeight="1" spans="1:20">
      <c r="A32" s="54" t="str">
        <f t="shared" si="1"/>
        <v>监测点2</v>
      </c>
      <c r="B32" s="55">
        <f t="shared" si="13"/>
        <v>2017</v>
      </c>
      <c r="C32" s="55">
        <f t="shared" si="14"/>
        <v>6</v>
      </c>
      <c r="D32" s="56">
        <v>29</v>
      </c>
      <c r="E32" s="57"/>
      <c r="F32" s="58"/>
      <c r="G32" s="58"/>
      <c r="H32" s="58"/>
      <c r="I32" s="58"/>
      <c r="J32" s="75"/>
      <c r="K32" s="72" t="str">
        <f t="shared" si="2"/>
        <v/>
      </c>
      <c r="L32" s="73" t="str">
        <f t="shared" si="3"/>
        <v/>
      </c>
      <c r="M32" s="73" t="str">
        <f t="shared" si="4"/>
        <v/>
      </c>
      <c r="N32" s="73" t="str">
        <f t="shared" si="5"/>
        <v/>
      </c>
      <c r="O32" s="73" t="str">
        <f t="shared" si="6"/>
        <v/>
      </c>
      <c r="P32" s="74" t="str">
        <f t="shared" si="7"/>
        <v/>
      </c>
      <c r="Q32" s="85">
        <f t="shared" si="8"/>
        <v>0</v>
      </c>
      <c r="R32" s="86" t="str">
        <f t="shared" si="9"/>
        <v>无效</v>
      </c>
      <c r="S32" s="86" t="str">
        <f t="shared" si="10"/>
        <v/>
      </c>
      <c r="T32" s="87" t="str">
        <f t="shared" si="11"/>
        <v/>
      </c>
    </row>
    <row r="33" ht="14.1" customHeight="1" spans="1:20">
      <c r="A33" s="54" t="str">
        <f t="shared" si="1"/>
        <v>监测点2</v>
      </c>
      <c r="B33" s="55">
        <f t="shared" si="13"/>
        <v>2017</v>
      </c>
      <c r="C33" s="55">
        <f t="shared" si="14"/>
        <v>6</v>
      </c>
      <c r="D33" s="56">
        <v>30</v>
      </c>
      <c r="E33" s="57"/>
      <c r="F33" s="58"/>
      <c r="G33" s="58"/>
      <c r="H33" s="58"/>
      <c r="I33" s="58"/>
      <c r="J33" s="75"/>
      <c r="K33" s="72" t="str">
        <f t="shared" si="2"/>
        <v/>
      </c>
      <c r="L33" s="73" t="str">
        <f t="shared" si="3"/>
        <v/>
      </c>
      <c r="M33" s="73" t="str">
        <f t="shared" si="4"/>
        <v/>
      </c>
      <c r="N33" s="73" t="str">
        <f t="shared" si="5"/>
        <v/>
      </c>
      <c r="O33" s="73" t="str">
        <f t="shared" si="6"/>
        <v/>
      </c>
      <c r="P33" s="74" t="str">
        <f t="shared" si="7"/>
        <v/>
      </c>
      <c r="Q33" s="85">
        <f t="shared" si="8"/>
        <v>0</v>
      </c>
      <c r="R33" s="86" t="str">
        <f t="shared" si="9"/>
        <v>无效</v>
      </c>
      <c r="S33" s="86" t="str">
        <f t="shared" si="10"/>
        <v/>
      </c>
      <c r="T33" s="87" t="str">
        <f t="shared" si="11"/>
        <v/>
      </c>
    </row>
    <row r="34" ht="14.1" customHeight="1" spans="1:20">
      <c r="A34" s="59" t="str">
        <f>IF(OR(C12=1,C12=3,C12=5,C12=7,C12=8,C12=10,C12=12),$A$4,"")</f>
        <v/>
      </c>
      <c r="B34" s="60" t="str">
        <f>IF(OR(C12=1,C12=3,C12=5,C12=7,C12=8,C12=10,C12=12),$B$4,"")</f>
        <v/>
      </c>
      <c r="C34" s="60" t="str">
        <f>IF(OR(C12=1,C12=3,C12=5,C12=7,C12=8,C12=10,C12=12),$C$4,"")</f>
        <v/>
      </c>
      <c r="D34" s="61" t="str">
        <f>IF(OR(C12=1,C12=3,C12=5,C12=7,C12=8,C12=10,C12=12),31,"")</f>
        <v/>
      </c>
      <c r="E34" s="62"/>
      <c r="F34" s="63"/>
      <c r="G34" s="63"/>
      <c r="H34" s="63"/>
      <c r="I34" s="63"/>
      <c r="J34" s="77"/>
      <c r="K34" s="72" t="str">
        <f t="shared" si="2"/>
        <v/>
      </c>
      <c r="L34" s="73" t="str">
        <f t="shared" si="3"/>
        <v/>
      </c>
      <c r="M34" s="73" t="str">
        <f t="shared" si="4"/>
        <v/>
      </c>
      <c r="N34" s="73" t="str">
        <f t="shared" si="5"/>
        <v/>
      </c>
      <c r="O34" s="73" t="str">
        <f t="shared" si="6"/>
        <v/>
      </c>
      <c r="P34" s="74" t="str">
        <f t="shared" si="7"/>
        <v/>
      </c>
      <c r="Q34" s="89" t="str">
        <f>IF(OR(C13=1,C13=3,C13=5,C13=7,C13=8,C13=10,C13=12),MAX(K34:P34),"")</f>
        <v/>
      </c>
      <c r="R34" s="90" t="str">
        <f>IF(OR(C13=1,C13=3,C13=5,C13=7,C13=8,C13=10,C13=12),IF(Q34&gt;100,IF((150-Q34&gt;=0),"轻度污染",IF((200-Q34&gt;=0),"中度污染",IF((300-Q34&gt;=0),"重度污染",IF((Q34&gt;300),"严重污染")))),IF(OR(K34="",L34="",M34="",N34="",O34="",P34=""),"无效",IF((50-Q34&gt;=0),"优",IF((100-Q34&gt;=0),"良")))),"")</f>
        <v/>
      </c>
      <c r="S34" s="90" t="str">
        <f>IF(Q34="","",IF(OR($C$4=1,$C$4=3,$C$4=5,$C$4=7,$C$4=8,$C$4=10,$C$4=12),IF(R34="无效","",INDEX($K$3:$P$3,MATCH(Q34,K34:P34,0))),""))</f>
        <v/>
      </c>
      <c r="T34" s="91" t="str">
        <f t="shared" si="11"/>
        <v/>
      </c>
    </row>
    <row r="35" ht="14.1" customHeight="1" spans="4:10">
      <c r="D35" s="64"/>
      <c r="E35" s="65"/>
      <c r="F35" s="65"/>
      <c r="G35" s="65"/>
      <c r="H35" s="65"/>
      <c r="I35" s="65"/>
      <c r="J35" s="65"/>
    </row>
    <row r="36" s="32" customFormat="1" ht="14.1" customHeight="1"/>
    <row r="37" s="32" customFormat="1" ht="14.1" customHeight="1"/>
    <row r="38" s="32" customFormat="1" ht="14.1" customHeight="1"/>
    <row r="39" s="32" customFormat="1" ht="14.1" customHeight="1"/>
    <row r="40" s="32" customFormat="1" ht="14.1" customHeight="1"/>
    <row r="41" s="32" customFormat="1" ht="14.1" customHeight="1"/>
  </sheetData>
  <sheetProtection password="DE74" sheet="1" formatCells="0" formatColumns="0" formatRows="0" objects="1" scenarios="1"/>
  <mergeCells count="11">
    <mergeCell ref="E1:J1"/>
    <mergeCell ref="E2:J2"/>
    <mergeCell ref="A1:A3"/>
    <mergeCell ref="B1:B3"/>
    <mergeCell ref="C1:C3"/>
    <mergeCell ref="D1:D3"/>
    <mergeCell ref="Q1:Q3"/>
    <mergeCell ref="R1:R3"/>
    <mergeCell ref="S1:S3"/>
    <mergeCell ref="T1:T3"/>
    <mergeCell ref="K1:P2"/>
  </mergeCells>
  <printOptions horizontalCentered="1" verticalCentered="1"/>
  <pageMargins left="0.511805555555556" right="0.313888888888889" top="0.747916666666667" bottom="0.55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opLeftCell="A55" workbookViewId="0">
      <selection activeCell="E73" sqref="E73"/>
    </sheetView>
  </sheetViews>
  <sheetFormatPr defaultColWidth="9" defaultRowHeight="13.5" outlineLevelCol="7"/>
  <cols>
    <col min="1" max="1" width="9.75" style="3" customWidth="1"/>
    <col min="2" max="2" width="13" style="3" customWidth="1"/>
    <col min="3" max="6" width="14.625" style="3" customWidth="1"/>
    <col min="7" max="16384" width="9" style="3"/>
  </cols>
  <sheetData>
    <row r="1" ht="20.25" spans="1:6">
      <c r="A1" s="4" t="s">
        <v>39</v>
      </c>
      <c r="B1" s="5"/>
      <c r="C1" s="5"/>
      <c r="D1" s="5"/>
      <c r="E1" s="5"/>
      <c r="F1" s="5"/>
    </row>
    <row r="2" ht="15.75" spans="1:6">
      <c r="A2" s="6" t="s">
        <v>40</v>
      </c>
      <c r="B2" s="6"/>
      <c r="C2" s="6"/>
      <c r="D2" s="6"/>
      <c r="E2" s="6"/>
      <c r="F2" s="6"/>
    </row>
    <row r="3" spans="1:6">
      <c r="A3" s="7" t="s">
        <v>41</v>
      </c>
      <c r="B3" s="8"/>
      <c r="C3" s="9" t="str">
        <f>对照点日均浓度!A12</f>
        <v>对照点</v>
      </c>
      <c r="D3" s="9" t="str">
        <f>监测点1日均浓度!A12</f>
        <v>会同二完小</v>
      </c>
      <c r="E3" s="9" t="str">
        <f>监测点2日均浓度!A12</f>
        <v>监测点2</v>
      </c>
      <c r="F3" s="9" t="s">
        <v>42</v>
      </c>
    </row>
    <row r="4" spans="1:6">
      <c r="A4" s="10"/>
      <c r="B4" s="11"/>
      <c r="C4" s="12"/>
      <c r="D4" s="12"/>
      <c r="E4" s="12"/>
      <c r="F4" s="12"/>
    </row>
    <row r="5" spans="1:6">
      <c r="A5" s="13" t="s">
        <v>43</v>
      </c>
      <c r="B5" s="14" t="s">
        <v>44</v>
      </c>
      <c r="C5" s="15">
        <f>对照点日均浓度!W4</f>
        <v>0</v>
      </c>
      <c r="D5" s="15">
        <f>监测点1日均浓度!W4</f>
        <v>4</v>
      </c>
      <c r="E5" s="15">
        <f>监测点2日均浓度!W4</f>
        <v>0</v>
      </c>
      <c r="F5" s="15">
        <f>城市日均浓度!W4</f>
        <v>4</v>
      </c>
    </row>
    <row r="6" spans="1:6">
      <c r="A6" s="16"/>
      <c r="B6" s="14" t="s">
        <v>45</v>
      </c>
      <c r="C6" s="15">
        <f>对照点日均浓度!W5</f>
        <v>0</v>
      </c>
      <c r="D6" s="15">
        <f>监测点1日均浓度!W5</f>
        <v>13</v>
      </c>
      <c r="E6" s="15">
        <f>监测点2日均浓度!W5</f>
        <v>0</v>
      </c>
      <c r="F6" s="15">
        <f>城市日均浓度!W5</f>
        <v>13</v>
      </c>
    </row>
    <row r="7" spans="1:6">
      <c r="A7" s="16"/>
      <c r="B7" s="14" t="s">
        <v>46</v>
      </c>
      <c r="C7" s="15" t="e">
        <f>对照点日均浓度!W6</f>
        <v>#DIV/0!</v>
      </c>
      <c r="D7" s="15">
        <f>监测点1日均浓度!W6</f>
        <v>7</v>
      </c>
      <c r="E7" s="15" t="e">
        <f>监测点2日均浓度!W6</f>
        <v>#DIV/0!</v>
      </c>
      <c r="F7" s="15">
        <f>城市日均浓度!W6</f>
        <v>7</v>
      </c>
    </row>
    <row r="8" spans="1:6">
      <c r="A8" s="16"/>
      <c r="B8" s="17" t="s">
        <v>47</v>
      </c>
      <c r="C8" s="18" t="s">
        <v>48</v>
      </c>
      <c r="D8" s="19">
        <v>6</v>
      </c>
      <c r="E8" s="19"/>
      <c r="F8" s="19"/>
    </row>
    <row r="9" spans="1:6">
      <c r="A9" s="16"/>
      <c r="B9" s="17"/>
      <c r="C9" s="20" t="str">
        <f>IFERROR(TEXT(C7-C8,"+0;-0"),"/")</f>
        <v>/</v>
      </c>
      <c r="D9" s="20" t="str">
        <f t="shared" ref="D9:F9" si="0">IFERROR(TEXT(D7-D8,"+0;-0"),"/")</f>
        <v>+1</v>
      </c>
      <c r="E9" s="20" t="str">
        <f t="shared" si="0"/>
        <v>/</v>
      </c>
      <c r="F9" s="20" t="str">
        <f t="shared" si="0"/>
        <v>+7</v>
      </c>
    </row>
    <row r="10" ht="26.25" spans="1:6">
      <c r="A10" s="16"/>
      <c r="B10" s="14" t="s">
        <v>49</v>
      </c>
      <c r="C10" s="21" t="str">
        <f t="shared" ref="C10:F10" si="1">C9</f>
        <v>/</v>
      </c>
      <c r="D10" s="21" t="str">
        <f t="shared" si="1"/>
        <v>+1</v>
      </c>
      <c r="E10" s="21" t="str">
        <f t="shared" si="1"/>
        <v>/</v>
      </c>
      <c r="F10" s="21" t="str">
        <f t="shared" si="1"/>
        <v>+7</v>
      </c>
    </row>
    <row r="11" spans="1:6">
      <c r="A11" s="16"/>
      <c r="B11" s="22" t="s">
        <v>50</v>
      </c>
      <c r="C11" s="18">
        <v>12</v>
      </c>
      <c r="D11" s="19">
        <v>14</v>
      </c>
      <c r="E11" s="19" t="s">
        <v>48</v>
      </c>
      <c r="F11" s="19" t="s">
        <v>48</v>
      </c>
    </row>
    <row r="12" spans="1:6">
      <c r="A12" s="16"/>
      <c r="B12" s="22"/>
      <c r="C12" s="20" t="str">
        <f t="shared" ref="C12:F12" si="2">IFERROR(TEXT(C7-C11,"+0;-0"),"/")</f>
        <v>/</v>
      </c>
      <c r="D12" s="20" t="str">
        <f t="shared" si="2"/>
        <v>-7</v>
      </c>
      <c r="E12" s="20" t="str">
        <f t="shared" si="2"/>
        <v>/</v>
      </c>
      <c r="F12" s="20" t="str">
        <f t="shared" si="2"/>
        <v>/</v>
      </c>
    </row>
    <row r="13" ht="26.25" spans="1:6">
      <c r="A13" s="16"/>
      <c r="B13" s="14" t="s">
        <v>51</v>
      </c>
      <c r="C13" s="23" t="str">
        <f>C12</f>
        <v>/</v>
      </c>
      <c r="D13" s="23" t="str">
        <f t="shared" ref="D13:F13" si="3">D12</f>
        <v>-7</v>
      </c>
      <c r="E13" s="23" t="str">
        <f t="shared" si="3"/>
        <v>/</v>
      </c>
      <c r="F13" s="23" t="str">
        <f t="shared" si="3"/>
        <v>/</v>
      </c>
    </row>
    <row r="14" spans="1:6">
      <c r="A14" s="16"/>
      <c r="B14" s="14" t="s">
        <v>31</v>
      </c>
      <c r="C14" s="24">
        <f>对照点日均浓度!W7</f>
        <v>0</v>
      </c>
      <c r="D14" s="24">
        <f>监测点1日均浓度!W7</f>
        <v>31</v>
      </c>
      <c r="E14" s="24">
        <f>监测点2日均浓度!W7</f>
        <v>0</v>
      </c>
      <c r="F14" s="24">
        <f>城市日均浓度!W7</f>
        <v>31</v>
      </c>
    </row>
    <row r="15" s="2" customFormat="1" ht="14.25" spans="1:6">
      <c r="A15" s="16"/>
      <c r="B15" s="14" t="s">
        <v>52</v>
      </c>
      <c r="C15" s="24">
        <f>对照点日均浓度!W8</f>
        <v>0</v>
      </c>
      <c r="D15" s="24">
        <f>监测点1日均浓度!W8</f>
        <v>0</v>
      </c>
      <c r="E15" s="24">
        <f>监测点2日均浓度!W8</f>
        <v>0</v>
      </c>
      <c r="F15" s="24">
        <f>城市日均浓度!W8</f>
        <v>0</v>
      </c>
    </row>
    <row r="16" ht="14.25" spans="1:8">
      <c r="A16" s="25"/>
      <c r="B16" s="14" t="s">
        <v>53</v>
      </c>
      <c r="C16" s="26" t="e">
        <f>对照点日均浓度!W9</f>
        <v>#DIV/0!</v>
      </c>
      <c r="D16" s="26">
        <f>监测点1日均浓度!W9</f>
        <v>0</v>
      </c>
      <c r="E16" s="26" t="e">
        <f>监测点2日均浓度!W9</f>
        <v>#DIV/0!</v>
      </c>
      <c r="F16" s="26">
        <f>城市日均浓度!W9</f>
        <v>0</v>
      </c>
      <c r="H16" s="2"/>
    </row>
    <row r="17" spans="1:6">
      <c r="A17" s="27" t="s">
        <v>54</v>
      </c>
      <c r="B17" s="14" t="s">
        <v>44</v>
      </c>
      <c r="C17" s="15">
        <f>对照点日均浓度!X4</f>
        <v>0</v>
      </c>
      <c r="D17" s="15">
        <f>监测点1日均浓度!X4</f>
        <v>3</v>
      </c>
      <c r="E17" s="15">
        <f>监测点2日均浓度!X4</f>
        <v>0</v>
      </c>
      <c r="F17" s="15">
        <f>城市日均浓度!X4</f>
        <v>3</v>
      </c>
    </row>
    <row r="18" spans="1:6">
      <c r="A18" s="16"/>
      <c r="B18" s="14" t="s">
        <v>45</v>
      </c>
      <c r="C18" s="15">
        <f>对照点日均浓度!X5</f>
        <v>0</v>
      </c>
      <c r="D18" s="15">
        <f>监测点1日均浓度!X5</f>
        <v>7</v>
      </c>
      <c r="E18" s="15">
        <f>监测点2日均浓度!X5</f>
        <v>0</v>
      </c>
      <c r="F18" s="15">
        <f>城市日均浓度!X5</f>
        <v>7</v>
      </c>
    </row>
    <row r="19" spans="1:6">
      <c r="A19" s="16"/>
      <c r="B19" s="14" t="s">
        <v>46</v>
      </c>
      <c r="C19" s="15" t="e">
        <f>对照点日均浓度!X6</f>
        <v>#DIV/0!</v>
      </c>
      <c r="D19" s="15">
        <f>监测点1日均浓度!X6</f>
        <v>5</v>
      </c>
      <c r="E19" s="15" t="e">
        <f>监测点2日均浓度!X6</f>
        <v>#DIV/0!</v>
      </c>
      <c r="F19" s="15">
        <f>城市日均浓度!X6</f>
        <v>5</v>
      </c>
    </row>
    <row r="20" spans="1:6">
      <c r="A20" s="16"/>
      <c r="B20" s="17" t="s">
        <v>47</v>
      </c>
      <c r="C20" s="18" t="s">
        <v>48</v>
      </c>
      <c r="D20" s="19">
        <v>6</v>
      </c>
      <c r="E20" s="19"/>
      <c r="F20" s="19"/>
    </row>
    <row r="21" spans="1:6">
      <c r="A21" s="16"/>
      <c r="B21" s="17"/>
      <c r="C21" s="20" t="str">
        <f>IFERROR(TEXT(C19-C20,"+0;-0"),"/")</f>
        <v>/</v>
      </c>
      <c r="D21" s="20" t="str">
        <f t="shared" ref="D21" si="4">IFERROR(TEXT(D19-D20,"+0;-0"),"/")</f>
        <v>-1</v>
      </c>
      <c r="E21" s="20" t="str">
        <f t="shared" ref="E21" si="5">IFERROR(TEXT(E19-E20,"+0;-0"),"/")</f>
        <v>/</v>
      </c>
      <c r="F21" s="20" t="str">
        <f t="shared" ref="F21" si="6">IFERROR(TEXT(F19-F20,"+0;-0"),"/")</f>
        <v>+5</v>
      </c>
    </row>
    <row r="22" ht="26.25" spans="1:6">
      <c r="A22" s="16"/>
      <c r="B22" s="14" t="s">
        <v>49</v>
      </c>
      <c r="C22" s="21" t="str">
        <f t="shared" ref="C22:F22" si="7">C21</f>
        <v>/</v>
      </c>
      <c r="D22" s="21" t="str">
        <f t="shared" si="7"/>
        <v>-1</v>
      </c>
      <c r="E22" s="21" t="str">
        <f t="shared" si="7"/>
        <v>/</v>
      </c>
      <c r="F22" s="21" t="str">
        <f t="shared" si="7"/>
        <v>+5</v>
      </c>
    </row>
    <row r="23" spans="1:6">
      <c r="A23" s="16"/>
      <c r="B23" s="22" t="s">
        <v>50</v>
      </c>
      <c r="C23" s="18">
        <v>12</v>
      </c>
      <c r="D23" s="19">
        <v>8</v>
      </c>
      <c r="E23" s="19" t="s">
        <v>48</v>
      </c>
      <c r="F23" s="19" t="s">
        <v>48</v>
      </c>
    </row>
    <row r="24" spans="1:6">
      <c r="A24" s="16"/>
      <c r="B24" s="22"/>
      <c r="C24" s="20" t="str">
        <f t="shared" ref="C24:F24" si="8">IFERROR(TEXT(C19-C23,"+0;-0"),"/")</f>
        <v>/</v>
      </c>
      <c r="D24" s="20" t="str">
        <f t="shared" si="8"/>
        <v>-3</v>
      </c>
      <c r="E24" s="20" t="str">
        <f t="shared" si="8"/>
        <v>/</v>
      </c>
      <c r="F24" s="20" t="str">
        <f t="shared" si="8"/>
        <v>/</v>
      </c>
    </row>
    <row r="25" ht="26.25" spans="1:6">
      <c r="A25" s="16"/>
      <c r="B25" s="14" t="s">
        <v>51</v>
      </c>
      <c r="C25" s="23" t="str">
        <f>C24</f>
        <v>/</v>
      </c>
      <c r="D25" s="23" t="str">
        <f t="shared" ref="D25" si="9">D24</f>
        <v>-3</v>
      </c>
      <c r="E25" s="23" t="str">
        <f t="shared" ref="E25" si="10">E24</f>
        <v>/</v>
      </c>
      <c r="F25" s="23" t="str">
        <f t="shared" ref="F25" si="11">F24</f>
        <v>/</v>
      </c>
    </row>
    <row r="26" spans="1:6">
      <c r="A26" s="16"/>
      <c r="B26" s="14" t="s">
        <v>55</v>
      </c>
      <c r="C26" s="24">
        <f>对照点日均浓度!X7</f>
        <v>0</v>
      </c>
      <c r="D26" s="24">
        <f>监测点1日均浓度!X7</f>
        <v>31</v>
      </c>
      <c r="E26" s="24">
        <f>监测点2日均浓度!X7</f>
        <v>0</v>
      </c>
      <c r="F26" s="24">
        <f>城市日均浓度!X7</f>
        <v>31</v>
      </c>
    </row>
    <row r="27" s="2" customFormat="1" ht="14.25" spans="1:6">
      <c r="A27" s="16"/>
      <c r="B27" s="14" t="s">
        <v>56</v>
      </c>
      <c r="C27" s="24">
        <f>对照点日均浓度!X8</f>
        <v>0</v>
      </c>
      <c r="D27" s="24">
        <f>监测点1日均浓度!X8</f>
        <v>0</v>
      </c>
      <c r="E27" s="24">
        <f>监测点2日均浓度!X8</f>
        <v>0</v>
      </c>
      <c r="F27" s="24">
        <f>城市日均浓度!X8</f>
        <v>0</v>
      </c>
    </row>
    <row r="28" spans="1:6">
      <c r="A28" s="25"/>
      <c r="B28" s="14" t="s">
        <v>53</v>
      </c>
      <c r="C28" s="26" t="e">
        <f>对照点日均浓度!X9</f>
        <v>#DIV/0!</v>
      </c>
      <c r="D28" s="26">
        <f>监测点1日均浓度!X9</f>
        <v>0</v>
      </c>
      <c r="E28" s="26" t="e">
        <f>监测点2日均浓度!X9</f>
        <v>#DIV/0!</v>
      </c>
      <c r="F28" s="26">
        <f>城市日均浓度!X9</f>
        <v>0</v>
      </c>
    </row>
    <row r="29" spans="1:6">
      <c r="A29" s="27" t="s">
        <v>57</v>
      </c>
      <c r="B29" s="14" t="s">
        <v>44</v>
      </c>
      <c r="C29" s="15">
        <f>对照点日均浓度!Y4</f>
        <v>0</v>
      </c>
      <c r="D29" s="15">
        <f>监测点1日均浓度!Y4</f>
        <v>15</v>
      </c>
      <c r="E29" s="15">
        <f>监测点2日均浓度!Y4</f>
        <v>0</v>
      </c>
      <c r="F29" s="15">
        <f>城市日均浓度!Y4</f>
        <v>15</v>
      </c>
    </row>
    <row r="30" spans="1:6">
      <c r="A30" s="16"/>
      <c r="B30" s="14" t="s">
        <v>45</v>
      </c>
      <c r="C30" s="15">
        <f>对照点日均浓度!Y5</f>
        <v>0</v>
      </c>
      <c r="D30" s="15">
        <f>监测点1日均浓度!Y5</f>
        <v>76</v>
      </c>
      <c r="E30" s="15">
        <f>监测点2日均浓度!Y5</f>
        <v>0</v>
      </c>
      <c r="F30" s="15">
        <f>城市日均浓度!Y5</f>
        <v>76</v>
      </c>
    </row>
    <row r="31" spans="1:6">
      <c r="A31" s="16"/>
      <c r="B31" s="14" t="s">
        <v>46</v>
      </c>
      <c r="C31" s="15" t="e">
        <f>对照点日均浓度!Y6</f>
        <v>#DIV/0!</v>
      </c>
      <c r="D31" s="15">
        <f>监测点1日均浓度!Y6</f>
        <v>38</v>
      </c>
      <c r="E31" s="15" t="e">
        <f>监测点2日均浓度!Y6</f>
        <v>#DIV/0!</v>
      </c>
      <c r="F31" s="15">
        <f>城市日均浓度!Y6</f>
        <v>38</v>
      </c>
    </row>
    <row r="32" spans="1:6">
      <c r="A32" s="16"/>
      <c r="B32" s="17" t="s">
        <v>47</v>
      </c>
      <c r="C32" s="18" t="s">
        <v>48</v>
      </c>
      <c r="D32" s="19">
        <v>37</v>
      </c>
      <c r="E32" s="19"/>
      <c r="F32" s="19"/>
    </row>
    <row r="33" spans="1:6">
      <c r="A33" s="16"/>
      <c r="B33" s="17"/>
      <c r="C33" s="20" t="str">
        <f>IFERROR(TEXT(C31-C32,"+0;-0"),"/")</f>
        <v>/</v>
      </c>
      <c r="D33" s="20" t="str">
        <f t="shared" ref="D33" si="12">IFERROR(TEXT(D31-D32,"+0;-0"),"/")</f>
        <v>+1</v>
      </c>
      <c r="E33" s="20" t="str">
        <f t="shared" ref="E33" si="13">IFERROR(TEXT(E31-E32,"+0;-0"),"/")</f>
        <v>/</v>
      </c>
      <c r="F33" s="20" t="str">
        <f t="shared" ref="F33" si="14">IFERROR(TEXT(F31-F32,"+0;-0"),"/")</f>
        <v>+38</v>
      </c>
    </row>
    <row r="34" ht="25.5" spans="1:6">
      <c r="A34" s="16"/>
      <c r="B34" s="14" t="s">
        <v>58</v>
      </c>
      <c r="C34" s="21" t="str">
        <f t="shared" ref="C34:F34" si="15">C33</f>
        <v>/</v>
      </c>
      <c r="D34" s="21" t="str">
        <f t="shared" si="15"/>
        <v>+1</v>
      </c>
      <c r="E34" s="21" t="str">
        <f t="shared" si="15"/>
        <v>/</v>
      </c>
      <c r="F34" s="21" t="str">
        <f t="shared" si="15"/>
        <v>+38</v>
      </c>
    </row>
    <row r="35" spans="1:6">
      <c r="A35" s="16"/>
      <c r="B35" s="22" t="s">
        <v>50</v>
      </c>
      <c r="C35" s="18">
        <v>12</v>
      </c>
      <c r="D35" s="19">
        <v>36</v>
      </c>
      <c r="E35" s="19" t="s">
        <v>48</v>
      </c>
      <c r="F35" s="19" t="s">
        <v>48</v>
      </c>
    </row>
    <row r="36" spans="1:6">
      <c r="A36" s="16"/>
      <c r="B36" s="22"/>
      <c r="C36" s="20" t="str">
        <f t="shared" ref="C36:F36" si="16">IFERROR(TEXT(C31-C35,"+0;-0"),"/")</f>
        <v>/</v>
      </c>
      <c r="D36" s="20" t="str">
        <f t="shared" si="16"/>
        <v>+2</v>
      </c>
      <c r="E36" s="20" t="str">
        <f t="shared" si="16"/>
        <v>/</v>
      </c>
      <c r="F36" s="20" t="str">
        <f t="shared" si="16"/>
        <v>/</v>
      </c>
    </row>
    <row r="37" ht="25.5" spans="1:6">
      <c r="A37" s="16"/>
      <c r="B37" s="14" t="s">
        <v>59</v>
      </c>
      <c r="C37" s="23" t="str">
        <f>C36</f>
        <v>/</v>
      </c>
      <c r="D37" s="23" t="str">
        <f t="shared" ref="D37" si="17">D36</f>
        <v>+2</v>
      </c>
      <c r="E37" s="23" t="str">
        <f t="shared" ref="E37" si="18">E36</f>
        <v>/</v>
      </c>
      <c r="F37" s="23" t="str">
        <f t="shared" ref="F37" si="19">F36</f>
        <v>/</v>
      </c>
    </row>
    <row r="38" spans="1:6">
      <c r="A38" s="16"/>
      <c r="B38" s="14" t="s">
        <v>31</v>
      </c>
      <c r="C38" s="24">
        <f>对照点日均浓度!Y7</f>
        <v>0</v>
      </c>
      <c r="D38" s="24">
        <f>监测点1日均浓度!Y7</f>
        <v>31</v>
      </c>
      <c r="E38" s="24">
        <f>监测点2日均浓度!Y7</f>
        <v>0</v>
      </c>
      <c r="F38" s="24">
        <f>城市日均浓度!Y7</f>
        <v>31</v>
      </c>
    </row>
    <row r="39" s="2" customFormat="1" ht="14.25" spans="1:6">
      <c r="A39" s="16"/>
      <c r="B39" s="14" t="s">
        <v>52</v>
      </c>
      <c r="C39" s="24">
        <f>对照点日均浓度!Y8</f>
        <v>0</v>
      </c>
      <c r="D39" s="24">
        <f>监测点1日均浓度!Y8</f>
        <v>0</v>
      </c>
      <c r="E39" s="24">
        <f>监测点2日均浓度!Y8</f>
        <v>0</v>
      </c>
      <c r="F39" s="24">
        <f>城市日均浓度!Y8</f>
        <v>0</v>
      </c>
    </row>
    <row r="40" spans="1:6">
      <c r="A40" s="25"/>
      <c r="B40" s="14" t="s">
        <v>53</v>
      </c>
      <c r="C40" s="26" t="e">
        <f>对照点日均浓度!Y9</f>
        <v>#DIV/0!</v>
      </c>
      <c r="D40" s="26">
        <f>监测点1日均浓度!Y9</f>
        <v>0</v>
      </c>
      <c r="E40" s="26" t="e">
        <f>监测点2日均浓度!Y9</f>
        <v>#DIV/0!</v>
      </c>
      <c r="F40" s="26">
        <f>城市日均浓度!Y9</f>
        <v>0</v>
      </c>
    </row>
    <row r="41" spans="1:6">
      <c r="A41" s="27" t="s">
        <v>14</v>
      </c>
      <c r="B41" s="28" t="s">
        <v>44</v>
      </c>
      <c r="C41" s="29">
        <f>对照点日均浓度!Z4</f>
        <v>0</v>
      </c>
      <c r="D41" s="29">
        <f>监测点1日均浓度!Z4</f>
        <v>0.4</v>
      </c>
      <c r="E41" s="29">
        <f>监测点2日均浓度!Z4</f>
        <v>0</v>
      </c>
      <c r="F41" s="29">
        <f>城市日均浓度!Z4</f>
        <v>0.4</v>
      </c>
    </row>
    <row r="42" spans="1:6">
      <c r="A42" s="16"/>
      <c r="B42" s="14" t="s">
        <v>45</v>
      </c>
      <c r="C42" s="29">
        <f>对照点日均浓度!Z5</f>
        <v>0</v>
      </c>
      <c r="D42" s="29">
        <f>监测点1日均浓度!Z5</f>
        <v>0.9</v>
      </c>
      <c r="E42" s="29">
        <f>监测点2日均浓度!Z5</f>
        <v>0</v>
      </c>
      <c r="F42" s="29">
        <f>城市日均浓度!Z5</f>
        <v>0.9</v>
      </c>
    </row>
    <row r="43" spans="1:6">
      <c r="A43" s="16"/>
      <c r="B43" s="14" t="s">
        <v>46</v>
      </c>
      <c r="C43" s="29" t="e">
        <f>对照点日均浓度!Z6</f>
        <v>#DIV/0!</v>
      </c>
      <c r="D43" s="29">
        <f>监测点1日均浓度!Z6</f>
        <v>0.6</v>
      </c>
      <c r="E43" s="29" t="e">
        <f>监测点2日均浓度!Z6</f>
        <v>#DIV/0!</v>
      </c>
      <c r="F43" s="29">
        <f>城市日均浓度!Z6</f>
        <v>0.6</v>
      </c>
    </row>
    <row r="44" spans="1:6">
      <c r="A44" s="16"/>
      <c r="B44" s="17" t="s">
        <v>47</v>
      </c>
      <c r="C44" s="18" t="s">
        <v>48</v>
      </c>
      <c r="D44" s="19">
        <v>0.6</v>
      </c>
      <c r="E44" s="19"/>
      <c r="F44" s="19"/>
    </row>
    <row r="45" spans="1:6">
      <c r="A45" s="16"/>
      <c r="B45" s="17"/>
      <c r="C45" s="20" t="str">
        <f>IFERROR(TEXT(C43-C44,"+0;-0"),"/")</f>
        <v>/</v>
      </c>
      <c r="D45" s="20" t="str">
        <f t="shared" ref="D45" si="20">IFERROR(TEXT(D43-D44,"+0;-0"),"/")</f>
        <v>+0</v>
      </c>
      <c r="E45" s="20" t="str">
        <f t="shared" ref="E45" si="21">IFERROR(TEXT(E43-E44,"+0;-0"),"/")</f>
        <v>/</v>
      </c>
      <c r="F45" s="20" t="str">
        <f t="shared" ref="F45" si="22">IFERROR(TEXT(F43-F44,"+0;-0"),"/")</f>
        <v>+1</v>
      </c>
    </row>
    <row r="46" ht="26.25" spans="1:6">
      <c r="A46" s="16"/>
      <c r="B46" s="14" t="s">
        <v>49</v>
      </c>
      <c r="C46" s="21" t="str">
        <f t="shared" ref="C46:F46" si="23">C45</f>
        <v>/</v>
      </c>
      <c r="D46" s="21" t="str">
        <f t="shared" si="23"/>
        <v>+0</v>
      </c>
      <c r="E46" s="21" t="str">
        <f t="shared" si="23"/>
        <v>/</v>
      </c>
      <c r="F46" s="21" t="str">
        <f t="shared" si="23"/>
        <v>+1</v>
      </c>
    </row>
    <row r="47" spans="1:6">
      <c r="A47" s="16"/>
      <c r="B47" s="22" t="s">
        <v>50</v>
      </c>
      <c r="C47" s="18">
        <v>12</v>
      </c>
      <c r="D47" s="19">
        <v>0.9</v>
      </c>
      <c r="E47" s="19" t="s">
        <v>48</v>
      </c>
      <c r="F47" s="19" t="s">
        <v>48</v>
      </c>
    </row>
    <row r="48" spans="1:6">
      <c r="A48" s="16"/>
      <c r="B48" s="22"/>
      <c r="C48" s="20" t="str">
        <f t="shared" ref="C48:F48" si="24">IFERROR(TEXT(C43-C47,"+0;-0"),"/")</f>
        <v>/</v>
      </c>
      <c r="D48" s="20" t="str">
        <f t="shared" si="24"/>
        <v>-0</v>
      </c>
      <c r="E48" s="20" t="str">
        <f t="shared" si="24"/>
        <v>/</v>
      </c>
      <c r="F48" s="20" t="str">
        <f t="shared" si="24"/>
        <v>/</v>
      </c>
    </row>
    <row r="49" ht="26.25" spans="1:6">
      <c r="A49" s="16"/>
      <c r="B49" s="14" t="s">
        <v>51</v>
      </c>
      <c r="C49" s="23" t="str">
        <f>C48</f>
        <v>/</v>
      </c>
      <c r="D49" s="23" t="str">
        <f t="shared" ref="D49" si="25">D48</f>
        <v>-0</v>
      </c>
      <c r="E49" s="23" t="str">
        <f t="shared" ref="E49" si="26">E48</f>
        <v>/</v>
      </c>
      <c r="F49" s="23" t="str">
        <f t="shared" ref="F49" si="27">F48</f>
        <v>/</v>
      </c>
    </row>
    <row r="50" spans="1:6">
      <c r="A50" s="16"/>
      <c r="B50" s="14" t="s">
        <v>31</v>
      </c>
      <c r="C50" s="24">
        <f>对照点日均浓度!Z7</f>
        <v>0</v>
      </c>
      <c r="D50" s="24">
        <f>监测点1日均浓度!Z7</f>
        <v>31</v>
      </c>
      <c r="E50" s="24">
        <f>监测点2日均浓度!Z7</f>
        <v>0</v>
      </c>
      <c r="F50" s="24">
        <f>城市日均浓度!Z7</f>
        <v>31</v>
      </c>
    </row>
    <row r="51" spans="1:6">
      <c r="A51" s="16"/>
      <c r="B51" s="14" t="s">
        <v>52</v>
      </c>
      <c r="C51" s="24">
        <f>对照点日均浓度!Z8</f>
        <v>0</v>
      </c>
      <c r="D51" s="24">
        <f>监测点1日均浓度!Z8</f>
        <v>0</v>
      </c>
      <c r="E51" s="24">
        <f>监测点2日均浓度!Z8</f>
        <v>0</v>
      </c>
      <c r="F51" s="24">
        <f>城市日均浓度!Z8</f>
        <v>0</v>
      </c>
    </row>
    <row r="52" spans="1:6">
      <c r="A52" s="25"/>
      <c r="B52" s="14" t="s">
        <v>53</v>
      </c>
      <c r="C52" s="26" t="e">
        <f>对照点日均浓度!Z9</f>
        <v>#DIV/0!</v>
      </c>
      <c r="D52" s="26">
        <f>监测点1日均浓度!Z9</f>
        <v>0</v>
      </c>
      <c r="E52" s="26" t="e">
        <f>监测点2日均浓度!Z9</f>
        <v>#DIV/0!</v>
      </c>
      <c r="F52" s="26">
        <f>城市日均浓度!Z9</f>
        <v>0</v>
      </c>
    </row>
    <row r="53" spans="1:6">
      <c r="A53" s="27" t="s">
        <v>60</v>
      </c>
      <c r="B53" s="14" t="s">
        <v>44</v>
      </c>
      <c r="C53" s="29">
        <f>对照点日均浓度!AA4</f>
        <v>0</v>
      </c>
      <c r="D53" s="29">
        <f>监测点1日均浓度!AA4</f>
        <v>26</v>
      </c>
      <c r="E53" s="29">
        <f>监测点2日均浓度!AA4</f>
        <v>0</v>
      </c>
      <c r="F53" s="29">
        <f>城市日均浓度!AA4</f>
        <v>26</v>
      </c>
    </row>
    <row r="54" spans="1:6">
      <c r="A54" s="16"/>
      <c r="B54" s="14" t="s">
        <v>45</v>
      </c>
      <c r="C54" s="29">
        <f>对照点日均浓度!AA5</f>
        <v>0</v>
      </c>
      <c r="D54" s="29">
        <f>监测点1日均浓度!AA5</f>
        <v>104</v>
      </c>
      <c r="E54" s="29">
        <f>监测点2日均浓度!AA5</f>
        <v>0</v>
      </c>
      <c r="F54" s="29">
        <f>城市日均浓度!AA5</f>
        <v>104</v>
      </c>
    </row>
    <row r="55" spans="1:6">
      <c r="A55" s="16"/>
      <c r="B55" s="14" t="s">
        <v>46</v>
      </c>
      <c r="C55" s="29" t="e">
        <f>对照点日均浓度!AA6</f>
        <v>#DIV/0!</v>
      </c>
      <c r="D55" s="29">
        <f>监测点1日均浓度!AA6</f>
        <v>62</v>
      </c>
      <c r="E55" s="29" t="e">
        <f>监测点2日均浓度!AA6</f>
        <v>#DIV/0!</v>
      </c>
      <c r="F55" s="29">
        <f>城市日均浓度!AA6</f>
        <v>62</v>
      </c>
    </row>
    <row r="56" spans="1:6">
      <c r="A56" s="16"/>
      <c r="B56" s="17" t="s">
        <v>47</v>
      </c>
      <c r="C56" s="18" t="s">
        <v>48</v>
      </c>
      <c r="D56" s="19">
        <v>75</v>
      </c>
      <c r="E56" s="19"/>
      <c r="F56" s="19"/>
    </row>
    <row r="57" spans="1:6">
      <c r="A57" s="16"/>
      <c r="B57" s="17"/>
      <c r="C57" s="20" t="str">
        <f>IFERROR(TEXT(C55-C56,"+0;-0"),"/")</f>
        <v>/</v>
      </c>
      <c r="D57" s="20" t="str">
        <f t="shared" ref="D57" si="28">IFERROR(TEXT(D55-D56,"+0;-0"),"/")</f>
        <v>-13</v>
      </c>
      <c r="E57" s="20" t="str">
        <f t="shared" ref="E57" si="29">IFERROR(TEXT(E55-E56,"+0;-0"),"/")</f>
        <v>/</v>
      </c>
      <c r="F57" s="20" t="str">
        <f t="shared" ref="F57" si="30">IFERROR(TEXT(F55-F56,"+0;-0"),"/")</f>
        <v>+62</v>
      </c>
    </row>
    <row r="58" ht="26.25" spans="1:6">
      <c r="A58" s="16"/>
      <c r="B58" s="14" t="s">
        <v>49</v>
      </c>
      <c r="C58" s="21" t="str">
        <f t="shared" ref="C58:F58" si="31">C57</f>
        <v>/</v>
      </c>
      <c r="D58" s="21" t="str">
        <f t="shared" si="31"/>
        <v>-13</v>
      </c>
      <c r="E58" s="21" t="str">
        <f t="shared" si="31"/>
        <v>/</v>
      </c>
      <c r="F58" s="21" t="str">
        <f t="shared" si="31"/>
        <v>+62</v>
      </c>
    </row>
    <row r="59" spans="1:6">
      <c r="A59" s="16"/>
      <c r="B59" s="22" t="s">
        <v>50</v>
      </c>
      <c r="C59" s="18">
        <v>12</v>
      </c>
      <c r="D59" s="19">
        <v>93</v>
      </c>
      <c r="E59" s="19" t="s">
        <v>48</v>
      </c>
      <c r="F59" s="19" t="s">
        <v>48</v>
      </c>
    </row>
    <row r="60" spans="1:6">
      <c r="A60" s="16"/>
      <c r="B60" s="22"/>
      <c r="C60" s="20" t="str">
        <f t="shared" ref="C60:F60" si="32">IFERROR(TEXT(C55-C59,"+0;-0"),"/")</f>
        <v>/</v>
      </c>
      <c r="D60" s="20" t="str">
        <f t="shared" si="32"/>
        <v>-31</v>
      </c>
      <c r="E60" s="20" t="str">
        <f t="shared" si="32"/>
        <v>/</v>
      </c>
      <c r="F60" s="20" t="str">
        <f t="shared" si="32"/>
        <v>/</v>
      </c>
    </row>
    <row r="61" ht="26.25" spans="1:6">
      <c r="A61" s="16"/>
      <c r="B61" s="14" t="s">
        <v>51</v>
      </c>
      <c r="C61" s="23" t="str">
        <f>C60</f>
        <v>/</v>
      </c>
      <c r="D61" s="23" t="str">
        <f t="shared" ref="D61" si="33">D60</f>
        <v>-31</v>
      </c>
      <c r="E61" s="23" t="str">
        <f t="shared" ref="E61" si="34">E60</f>
        <v>/</v>
      </c>
      <c r="F61" s="23" t="str">
        <f t="shared" ref="F61" si="35">F60</f>
        <v>/</v>
      </c>
    </row>
    <row r="62" spans="1:6">
      <c r="A62" s="16"/>
      <c r="B62" s="14" t="s">
        <v>31</v>
      </c>
      <c r="C62" s="24">
        <f>对照点日均浓度!AA7</f>
        <v>0</v>
      </c>
      <c r="D62" s="24">
        <f>监测点1日均浓度!AA7</f>
        <v>31</v>
      </c>
      <c r="E62" s="24">
        <f>监测点2日均浓度!AA7</f>
        <v>0</v>
      </c>
      <c r="F62" s="24">
        <f>城市日均浓度!AA7</f>
        <v>31</v>
      </c>
    </row>
    <row r="63" spans="1:6">
      <c r="A63" s="16"/>
      <c r="B63" s="14" t="s">
        <v>52</v>
      </c>
      <c r="C63" s="24">
        <f>对照点日均浓度!AA8</f>
        <v>0</v>
      </c>
      <c r="D63" s="24">
        <f>监测点1日均浓度!AA8</f>
        <v>0</v>
      </c>
      <c r="E63" s="24">
        <f>监测点2日均浓度!AA8</f>
        <v>0</v>
      </c>
      <c r="F63" s="24">
        <f>城市日均浓度!AA8</f>
        <v>0</v>
      </c>
    </row>
    <row r="64" spans="1:6">
      <c r="A64" s="25"/>
      <c r="B64" s="14" t="s">
        <v>53</v>
      </c>
      <c r="C64" s="26" t="e">
        <f>对照点日均浓度!AA9</f>
        <v>#DIV/0!</v>
      </c>
      <c r="D64" s="26">
        <f>监测点1日均浓度!AA9</f>
        <v>0</v>
      </c>
      <c r="E64" s="26" t="e">
        <f>监测点2日均浓度!AA9</f>
        <v>#DIV/0!</v>
      </c>
      <c r="F64" s="26">
        <f>城市日均浓度!AA9</f>
        <v>0</v>
      </c>
    </row>
    <row r="65" spans="1:6">
      <c r="A65" s="27" t="s">
        <v>61</v>
      </c>
      <c r="B65" s="14" t="s">
        <v>44</v>
      </c>
      <c r="C65" s="29">
        <f>对照点日均浓度!AB4</f>
        <v>0</v>
      </c>
      <c r="D65" s="29">
        <f>监测点1日均浓度!AB4</f>
        <v>2</v>
      </c>
      <c r="E65" s="29">
        <f>监测点2日均浓度!AB4</f>
        <v>0</v>
      </c>
      <c r="F65" s="29">
        <f>城市日均浓度!AB4</f>
        <v>2</v>
      </c>
    </row>
    <row r="66" spans="1:6">
      <c r="A66" s="16"/>
      <c r="B66" s="14" t="s">
        <v>45</v>
      </c>
      <c r="C66" s="29">
        <f>对照点日均浓度!AB5</f>
        <v>0</v>
      </c>
      <c r="D66" s="29">
        <f>监测点1日均浓度!AB5</f>
        <v>34</v>
      </c>
      <c r="E66" s="29">
        <f>监测点2日均浓度!AB5</f>
        <v>0</v>
      </c>
      <c r="F66" s="29">
        <f>城市日均浓度!AB5</f>
        <v>34</v>
      </c>
    </row>
    <row r="67" spans="1:6">
      <c r="A67" s="16"/>
      <c r="B67" s="14" t="s">
        <v>46</v>
      </c>
      <c r="C67" s="29" t="e">
        <f>对照点日均浓度!AB6</f>
        <v>#DIV/0!</v>
      </c>
      <c r="D67" s="29">
        <f>监测点1日均浓度!AB6</f>
        <v>18</v>
      </c>
      <c r="E67" s="29" t="e">
        <f>监测点2日均浓度!AB6</f>
        <v>#DIV/0!</v>
      </c>
      <c r="F67" s="29">
        <f>城市日均浓度!AB6</f>
        <v>18</v>
      </c>
    </row>
    <row r="68" spans="1:6">
      <c r="A68" s="16"/>
      <c r="B68" s="17" t="s">
        <v>47</v>
      </c>
      <c r="C68" s="18" t="s">
        <v>48</v>
      </c>
      <c r="D68" s="19">
        <v>18</v>
      </c>
      <c r="E68" s="19"/>
      <c r="F68" s="19"/>
    </row>
    <row r="69" spans="1:6">
      <c r="A69" s="16"/>
      <c r="B69" s="17"/>
      <c r="C69" s="20" t="str">
        <f>IFERROR(TEXT(C67-C68,"+0;-0"),"/")</f>
        <v>/</v>
      </c>
      <c r="D69" s="20" t="str">
        <f t="shared" ref="D69" si="36">IFERROR(TEXT(D67-D68,"+0;-0"),"/")</f>
        <v>+0</v>
      </c>
      <c r="E69" s="20" t="str">
        <f t="shared" ref="E69" si="37">IFERROR(TEXT(E67-E68,"+0;-0"),"/")</f>
        <v>/</v>
      </c>
      <c r="F69" s="20" t="str">
        <f t="shared" ref="F69" si="38">IFERROR(TEXT(F67-F68,"+0;-0"),"/")</f>
        <v>+18</v>
      </c>
    </row>
    <row r="70" ht="25.5" spans="1:6">
      <c r="A70" s="16"/>
      <c r="B70" s="14" t="s">
        <v>58</v>
      </c>
      <c r="C70" s="21" t="str">
        <f t="shared" ref="C70:F70" si="39">C69</f>
        <v>/</v>
      </c>
      <c r="D70" s="21" t="str">
        <f t="shared" si="39"/>
        <v>+0</v>
      </c>
      <c r="E70" s="21" t="str">
        <f t="shared" si="39"/>
        <v>/</v>
      </c>
      <c r="F70" s="21" t="str">
        <f t="shared" si="39"/>
        <v>+18</v>
      </c>
    </row>
    <row r="71" spans="1:6">
      <c r="A71" s="16"/>
      <c r="B71" s="22" t="s">
        <v>50</v>
      </c>
      <c r="C71" s="18">
        <v>12</v>
      </c>
      <c r="D71" s="19">
        <v>20</v>
      </c>
      <c r="E71" s="19" t="s">
        <v>48</v>
      </c>
      <c r="F71" s="19" t="s">
        <v>48</v>
      </c>
    </row>
    <row r="72" spans="1:6">
      <c r="A72" s="16"/>
      <c r="B72" s="22"/>
      <c r="C72" s="20" t="str">
        <f t="shared" ref="C72:F72" si="40">IFERROR(TEXT(C67-C71,"+0;-0"),"/")</f>
        <v>/</v>
      </c>
      <c r="D72" s="20" t="str">
        <f t="shared" si="40"/>
        <v>-2</v>
      </c>
      <c r="E72" s="20" t="str">
        <f t="shared" si="40"/>
        <v>/</v>
      </c>
      <c r="F72" s="20" t="str">
        <f t="shared" si="40"/>
        <v>/</v>
      </c>
    </row>
    <row r="73" ht="25.5" spans="1:6">
      <c r="A73" s="16"/>
      <c r="B73" s="14" t="s">
        <v>59</v>
      </c>
      <c r="C73" s="23" t="str">
        <f>C72</f>
        <v>/</v>
      </c>
      <c r="D73" s="23" t="str">
        <f t="shared" ref="D73" si="41">D72</f>
        <v>-2</v>
      </c>
      <c r="E73" s="23" t="str">
        <f t="shared" ref="E73" si="42">E72</f>
        <v>/</v>
      </c>
      <c r="F73" s="23" t="str">
        <f t="shared" ref="F73" si="43">F72</f>
        <v>/</v>
      </c>
    </row>
    <row r="74" spans="1:6">
      <c r="A74" s="16"/>
      <c r="B74" s="14" t="s">
        <v>31</v>
      </c>
      <c r="C74" s="24">
        <f>对照点日均浓度!AB7</f>
        <v>0</v>
      </c>
      <c r="D74" s="24">
        <f>监测点1日均浓度!AB7</f>
        <v>31</v>
      </c>
      <c r="E74" s="24">
        <f>监测点2日均浓度!AB7</f>
        <v>0</v>
      </c>
      <c r="F74" s="24">
        <f>城市日均浓度!AB7</f>
        <v>31</v>
      </c>
    </row>
    <row r="75" spans="1:6">
      <c r="A75" s="16"/>
      <c r="B75" s="14" t="s">
        <v>52</v>
      </c>
      <c r="C75" s="24">
        <f>对照点日均浓度!AB8</f>
        <v>0</v>
      </c>
      <c r="D75" s="24">
        <f>监测点1日均浓度!AB8</f>
        <v>0</v>
      </c>
      <c r="E75" s="24">
        <f>监测点2日均浓度!AB8</f>
        <v>0</v>
      </c>
      <c r="F75" s="24">
        <f>城市日均浓度!AB8</f>
        <v>0</v>
      </c>
    </row>
    <row r="76" spans="1:6">
      <c r="A76" s="25"/>
      <c r="B76" s="14" t="s">
        <v>53</v>
      </c>
      <c r="C76" s="26" t="e">
        <f>对照点日均浓度!AB9</f>
        <v>#DIV/0!</v>
      </c>
      <c r="D76" s="26">
        <f>监测点1日均浓度!AB9</f>
        <v>0</v>
      </c>
      <c r="E76" s="26" t="e">
        <f>监测点2日均浓度!AB9</f>
        <v>#DIV/0!</v>
      </c>
      <c r="F76" s="26">
        <f>城市日均浓度!AB9</f>
        <v>0</v>
      </c>
    </row>
    <row r="77" ht="14.25" customHeight="1" spans="1:6">
      <c r="A77" s="30" t="s">
        <v>62</v>
      </c>
      <c r="B77" s="30"/>
      <c r="C77" s="30"/>
      <c r="D77" s="30"/>
      <c r="E77" s="30"/>
      <c r="F77" s="30"/>
    </row>
    <row r="78" spans="1:6">
      <c r="A78" s="31"/>
      <c r="B78" s="31"/>
      <c r="C78" s="31"/>
      <c r="D78" s="31"/>
      <c r="E78" s="31"/>
      <c r="F78" s="31"/>
    </row>
    <row r="79" spans="1:6">
      <c r="A79" s="31"/>
      <c r="B79" s="31"/>
      <c r="C79" s="31"/>
      <c r="D79" s="31"/>
      <c r="E79" s="31"/>
      <c r="F79" s="31"/>
    </row>
  </sheetData>
  <sheetProtection password="DE74" sheet="1" formatCells="0" formatColumns="0" formatRows="0" deleteColumns="0" deleteRows="0" objects="1" scenarios="1"/>
  <mergeCells count="16">
    <mergeCell ref="A1:F1"/>
    <mergeCell ref="A2:F2"/>
    <mergeCell ref="A77:F77"/>
    <mergeCell ref="A78:F78"/>
    <mergeCell ref="A79:F79"/>
    <mergeCell ref="A5:A16"/>
    <mergeCell ref="A17:A28"/>
    <mergeCell ref="A29:A40"/>
    <mergeCell ref="A41:A52"/>
    <mergeCell ref="A53:A64"/>
    <mergeCell ref="A65:A76"/>
    <mergeCell ref="C3:C4"/>
    <mergeCell ref="D3:D4"/>
    <mergeCell ref="E3:E4"/>
    <mergeCell ref="F3:F4"/>
    <mergeCell ref="A3:B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6"/>
  <sheetViews>
    <sheetView workbookViewId="0">
      <selection activeCell="T26" sqref="T26"/>
    </sheetView>
  </sheetViews>
  <sheetFormatPr defaultColWidth="9" defaultRowHeight="13.5"/>
  <cols>
    <col min="1" max="1" width="9.5" style="1" customWidth="1"/>
    <col min="2" max="2" width="8" style="1" customWidth="1"/>
    <col min="3" max="3" width="6.75" style="1" customWidth="1"/>
    <col min="4" max="4" width="6.875" style="1" customWidth="1"/>
    <col min="5" max="5" width="15.75" customWidth="1"/>
    <col min="6" max="6" width="14.75" customWidth="1"/>
    <col min="7" max="7" width="16.125" customWidth="1"/>
    <col min="8" max="8" width="12.875" customWidth="1"/>
    <col min="9" max="9" width="20.375" customWidth="1"/>
    <col min="10" max="10" width="17.125" customWidth="1"/>
    <col min="11" max="11" width="10.625" customWidth="1"/>
    <col min="12" max="12" width="6.875" style="1" customWidth="1"/>
    <col min="13" max="18" width="10.625" customWidth="1"/>
  </cols>
  <sheetData>
    <row r="1" spans="5:18">
      <c r="E1" s="1"/>
      <c r="F1" s="1"/>
      <c r="G1" s="1" t="s">
        <v>63</v>
      </c>
      <c r="H1" s="1"/>
      <c r="I1" s="1"/>
      <c r="J1" s="1"/>
      <c r="K1" s="1"/>
      <c r="M1" s="1"/>
      <c r="N1" s="1"/>
      <c r="O1" s="1"/>
      <c r="P1" s="1" t="s">
        <v>64</v>
      </c>
      <c r="Q1" s="1"/>
      <c r="R1" s="1"/>
    </row>
    <row r="2" spans="1:18">
      <c r="A2" s="1" t="s">
        <v>65</v>
      </c>
      <c r="B2" s="1" t="s">
        <v>1</v>
      </c>
      <c r="C2" s="1" t="s">
        <v>2</v>
      </c>
      <c r="D2" s="1" t="s">
        <v>3</v>
      </c>
      <c r="E2" s="1" t="s">
        <v>66</v>
      </c>
      <c r="F2" s="1" t="s">
        <v>67</v>
      </c>
      <c r="G2" s="1" t="s">
        <v>68</v>
      </c>
      <c r="H2" s="1" t="s">
        <v>69</v>
      </c>
      <c r="I2" s="1" t="s">
        <v>70</v>
      </c>
      <c r="J2" s="1" t="s">
        <v>71</v>
      </c>
      <c r="K2" s="1"/>
      <c r="L2" s="1" t="s">
        <v>3</v>
      </c>
      <c r="M2" s="1" t="s">
        <v>72</v>
      </c>
      <c r="N2" s="1" t="s">
        <v>67</v>
      </c>
      <c r="O2" s="1" t="s">
        <v>73</v>
      </c>
      <c r="P2" s="1" t="s">
        <v>14</v>
      </c>
      <c r="Q2" s="1" t="s">
        <v>15</v>
      </c>
      <c r="R2" s="1" t="s">
        <v>71</v>
      </c>
    </row>
    <row r="3" spans="1:18">
      <c r="A3" s="1" t="s">
        <v>74</v>
      </c>
      <c r="B3" s="1">
        <v>2015</v>
      </c>
      <c r="C3" s="1">
        <v>10</v>
      </c>
      <c r="D3" s="1">
        <v>1</v>
      </c>
      <c r="E3">
        <v>30</v>
      </c>
      <c r="F3">
        <v>31.6666666666667</v>
      </c>
      <c r="G3">
        <v>87.6666666666667</v>
      </c>
      <c r="H3">
        <v>0.5465</v>
      </c>
      <c r="I3">
        <v>87</v>
      </c>
      <c r="J3">
        <v>36.5</v>
      </c>
      <c r="L3" s="1">
        <v>1</v>
      </c>
      <c r="M3">
        <f t="shared" ref="M3:O33" si="0">ROUND(E3,0)-(MOD(E3,2)=0.5)</f>
        <v>30</v>
      </c>
      <c r="N3">
        <f t="shared" si="0"/>
        <v>32</v>
      </c>
      <c r="O3">
        <f t="shared" si="0"/>
        <v>88</v>
      </c>
      <c r="P3">
        <f t="shared" ref="P3:P33" si="1">(ROUND(H3*10,0)-(MOD(H3*10,2)=0.5))/10</f>
        <v>0.5</v>
      </c>
      <c r="Q3">
        <f t="shared" ref="Q3:R33" si="2">ROUND(I3,0)-(MOD(I3,2)=0.5)</f>
        <v>87</v>
      </c>
      <c r="R3">
        <f t="shared" si="2"/>
        <v>36</v>
      </c>
    </row>
    <row r="4" spans="1:18">
      <c r="A4" s="1" t="s">
        <v>74</v>
      </c>
      <c r="B4" s="1">
        <v>2015</v>
      </c>
      <c r="C4" s="1">
        <v>10</v>
      </c>
      <c r="D4" s="1">
        <v>2</v>
      </c>
      <c r="E4">
        <v>23.5</v>
      </c>
      <c r="F4">
        <v>44.3333333333333</v>
      </c>
      <c r="G4">
        <v>93.1666666666667</v>
      </c>
      <c r="H4">
        <v>0.7525</v>
      </c>
      <c r="I4">
        <v>137.833333333333</v>
      </c>
      <c r="J4">
        <v>38.8333333333333</v>
      </c>
      <c r="L4" s="1">
        <v>2</v>
      </c>
      <c r="M4">
        <f t="shared" si="0"/>
        <v>24</v>
      </c>
      <c r="N4">
        <f t="shared" si="0"/>
        <v>44</v>
      </c>
      <c r="O4">
        <f t="shared" si="0"/>
        <v>93</v>
      </c>
      <c r="P4">
        <f t="shared" si="1"/>
        <v>0.8</v>
      </c>
      <c r="Q4">
        <f t="shared" si="2"/>
        <v>138</v>
      </c>
      <c r="R4">
        <f t="shared" si="2"/>
        <v>39</v>
      </c>
    </row>
    <row r="5" spans="1:18">
      <c r="A5" s="1" t="s">
        <v>74</v>
      </c>
      <c r="B5" s="1">
        <v>2015</v>
      </c>
      <c r="C5" s="1">
        <v>10</v>
      </c>
      <c r="D5" s="1">
        <v>3</v>
      </c>
      <c r="E5">
        <v>19.8333333333333</v>
      </c>
      <c r="F5">
        <v>34.3333333333333</v>
      </c>
      <c r="G5">
        <v>108.166666666667</v>
      </c>
      <c r="H5">
        <v>0.574666666666667</v>
      </c>
      <c r="I5">
        <v>148.666666666667</v>
      </c>
      <c r="J5">
        <v>47.5</v>
      </c>
      <c r="L5" s="1">
        <v>3</v>
      </c>
      <c r="M5">
        <f t="shared" si="0"/>
        <v>20</v>
      </c>
      <c r="N5">
        <f t="shared" si="0"/>
        <v>34</v>
      </c>
      <c r="O5">
        <f t="shared" si="0"/>
        <v>108</v>
      </c>
      <c r="P5">
        <f t="shared" si="1"/>
        <v>0.6</v>
      </c>
      <c r="Q5">
        <f t="shared" si="2"/>
        <v>149</v>
      </c>
      <c r="R5">
        <f t="shared" si="2"/>
        <v>48</v>
      </c>
    </row>
    <row r="6" spans="1:18">
      <c r="A6" s="1" t="s">
        <v>74</v>
      </c>
      <c r="B6" s="1">
        <v>2015</v>
      </c>
      <c r="C6" s="1">
        <v>10</v>
      </c>
      <c r="D6" s="1">
        <v>4</v>
      </c>
      <c r="E6">
        <v>20.6666666666667</v>
      </c>
      <c r="F6">
        <v>36.3333333333333</v>
      </c>
      <c r="G6">
        <v>105.5</v>
      </c>
      <c r="H6">
        <v>0.6785</v>
      </c>
      <c r="I6">
        <v>106.333333333333</v>
      </c>
      <c r="J6">
        <v>57.1666666666667</v>
      </c>
      <c r="L6" s="1">
        <v>4</v>
      </c>
      <c r="M6">
        <f t="shared" si="0"/>
        <v>21</v>
      </c>
      <c r="N6">
        <f t="shared" si="0"/>
        <v>36</v>
      </c>
      <c r="O6">
        <f t="shared" si="0"/>
        <v>106</v>
      </c>
      <c r="P6">
        <f t="shared" si="1"/>
        <v>0.7</v>
      </c>
      <c r="Q6">
        <f t="shared" si="2"/>
        <v>106</v>
      </c>
      <c r="R6">
        <f t="shared" si="2"/>
        <v>57</v>
      </c>
    </row>
    <row r="7" spans="1:18">
      <c r="A7" s="1" t="s">
        <v>74</v>
      </c>
      <c r="B7" s="1">
        <v>2015</v>
      </c>
      <c r="C7" s="1">
        <v>10</v>
      </c>
      <c r="D7" s="1">
        <v>5</v>
      </c>
      <c r="E7">
        <v>7.16666666666667</v>
      </c>
      <c r="F7">
        <v>24</v>
      </c>
      <c r="G7">
        <v>60.8333333333333</v>
      </c>
      <c r="H7">
        <v>0.725333333333333</v>
      </c>
      <c r="I7">
        <v>70</v>
      </c>
      <c r="J7">
        <v>37.6666666666667</v>
      </c>
      <c r="L7" s="1">
        <v>5</v>
      </c>
      <c r="M7">
        <f t="shared" si="0"/>
        <v>7</v>
      </c>
      <c r="N7">
        <f t="shared" si="0"/>
        <v>24</v>
      </c>
      <c r="O7">
        <f t="shared" si="0"/>
        <v>61</v>
      </c>
      <c r="P7">
        <f t="shared" si="1"/>
        <v>0.7</v>
      </c>
      <c r="Q7">
        <f t="shared" si="2"/>
        <v>70</v>
      </c>
      <c r="R7">
        <f t="shared" si="2"/>
        <v>38</v>
      </c>
    </row>
    <row r="8" spans="1:18">
      <c r="A8" s="1" t="s">
        <v>74</v>
      </c>
      <c r="B8" s="1">
        <v>2015</v>
      </c>
      <c r="C8" s="1">
        <v>10</v>
      </c>
      <c r="D8" s="1">
        <v>6</v>
      </c>
      <c r="E8">
        <v>9.66666666666667</v>
      </c>
      <c r="F8">
        <v>30.3333333333333</v>
      </c>
      <c r="G8">
        <v>30</v>
      </c>
      <c r="H8">
        <v>0.8465</v>
      </c>
      <c r="I8">
        <v>42.8333333333333</v>
      </c>
      <c r="J8">
        <v>20.5</v>
      </c>
      <c r="L8" s="1">
        <v>6</v>
      </c>
      <c r="M8">
        <f t="shared" si="0"/>
        <v>10</v>
      </c>
      <c r="N8">
        <f t="shared" si="0"/>
        <v>30</v>
      </c>
      <c r="O8">
        <f t="shared" si="0"/>
        <v>30</v>
      </c>
      <c r="P8">
        <f t="shared" si="1"/>
        <v>0.8</v>
      </c>
      <c r="Q8">
        <f t="shared" si="2"/>
        <v>43</v>
      </c>
      <c r="R8">
        <f t="shared" si="2"/>
        <v>20</v>
      </c>
    </row>
    <row r="9" spans="1:18">
      <c r="A9" s="1" t="s">
        <v>74</v>
      </c>
      <c r="B9" s="1">
        <v>2015</v>
      </c>
      <c r="C9" s="1">
        <v>10</v>
      </c>
      <c r="D9" s="1">
        <v>7</v>
      </c>
      <c r="E9">
        <v>40.3333333333333</v>
      </c>
      <c r="F9">
        <v>27.5</v>
      </c>
      <c r="G9">
        <v>31</v>
      </c>
      <c r="H9">
        <v>0.827333333333333</v>
      </c>
      <c r="I9">
        <v>56.1666666666667</v>
      </c>
      <c r="J9">
        <v>19.8333333333333</v>
      </c>
      <c r="L9" s="1">
        <v>7</v>
      </c>
      <c r="M9">
        <f t="shared" si="0"/>
        <v>40</v>
      </c>
      <c r="N9">
        <f t="shared" si="0"/>
        <v>28</v>
      </c>
      <c r="O9">
        <f t="shared" si="0"/>
        <v>31</v>
      </c>
      <c r="P9">
        <f t="shared" si="1"/>
        <v>0.8</v>
      </c>
      <c r="Q9">
        <f t="shared" si="2"/>
        <v>56</v>
      </c>
      <c r="R9">
        <f t="shared" si="2"/>
        <v>20</v>
      </c>
    </row>
    <row r="10" spans="1:18">
      <c r="A10" s="1" t="s">
        <v>74</v>
      </c>
      <c r="B10" s="1">
        <v>2015</v>
      </c>
      <c r="C10" s="1">
        <v>10</v>
      </c>
      <c r="D10" s="1">
        <v>8</v>
      </c>
      <c r="E10">
        <v>18</v>
      </c>
      <c r="F10">
        <v>22.8333333333333</v>
      </c>
      <c r="G10">
        <v>53.8333333333333</v>
      </c>
      <c r="H10">
        <v>0.598</v>
      </c>
      <c r="I10">
        <v>127.333333333333</v>
      </c>
      <c r="J10">
        <v>30.5</v>
      </c>
      <c r="L10" s="1">
        <v>8</v>
      </c>
      <c r="M10">
        <f t="shared" si="0"/>
        <v>18</v>
      </c>
      <c r="N10">
        <f t="shared" si="0"/>
        <v>23</v>
      </c>
      <c r="O10">
        <f t="shared" si="0"/>
        <v>54</v>
      </c>
      <c r="P10">
        <f t="shared" si="1"/>
        <v>0.6</v>
      </c>
      <c r="Q10">
        <f t="shared" si="2"/>
        <v>127</v>
      </c>
      <c r="R10">
        <f t="shared" si="2"/>
        <v>30</v>
      </c>
    </row>
    <row r="11" spans="1:18">
      <c r="A11" s="1" t="s">
        <v>74</v>
      </c>
      <c r="B11" s="1">
        <v>2015</v>
      </c>
      <c r="C11" s="1">
        <v>10</v>
      </c>
      <c r="D11" s="1">
        <v>9</v>
      </c>
      <c r="E11">
        <v>40.8333333333333</v>
      </c>
      <c r="F11">
        <v>34.5</v>
      </c>
      <c r="G11">
        <v>60.6666666666667</v>
      </c>
      <c r="H11">
        <v>0.552833333333333</v>
      </c>
      <c r="I11">
        <v>76.5</v>
      </c>
      <c r="J11">
        <v>29.1666666666667</v>
      </c>
      <c r="L11" s="1">
        <v>9</v>
      </c>
      <c r="M11">
        <f t="shared" si="0"/>
        <v>41</v>
      </c>
      <c r="N11">
        <f t="shared" si="0"/>
        <v>34</v>
      </c>
      <c r="O11">
        <f t="shared" si="0"/>
        <v>61</v>
      </c>
      <c r="P11">
        <f t="shared" si="1"/>
        <v>0.6</v>
      </c>
      <c r="Q11">
        <f t="shared" si="2"/>
        <v>76</v>
      </c>
      <c r="R11">
        <f t="shared" si="2"/>
        <v>29</v>
      </c>
    </row>
    <row r="12" spans="1:18">
      <c r="A12" s="1" t="s">
        <v>74</v>
      </c>
      <c r="B12" s="1">
        <v>2015</v>
      </c>
      <c r="C12" s="1">
        <v>10</v>
      </c>
      <c r="D12" s="1">
        <v>10</v>
      </c>
      <c r="E12">
        <v>67</v>
      </c>
      <c r="F12">
        <v>54.8333333333333</v>
      </c>
      <c r="G12">
        <v>110.166666666667</v>
      </c>
      <c r="H12">
        <v>0.983</v>
      </c>
      <c r="I12">
        <v>58.3333333333333</v>
      </c>
      <c r="J12">
        <v>50.5</v>
      </c>
      <c r="L12" s="1">
        <v>10</v>
      </c>
      <c r="M12">
        <f t="shared" si="0"/>
        <v>67</v>
      </c>
      <c r="N12">
        <f t="shared" si="0"/>
        <v>55</v>
      </c>
      <c r="O12">
        <f t="shared" si="0"/>
        <v>110</v>
      </c>
      <c r="P12">
        <f t="shared" si="1"/>
        <v>1</v>
      </c>
      <c r="Q12">
        <f t="shared" si="2"/>
        <v>58</v>
      </c>
      <c r="R12">
        <f t="shared" si="2"/>
        <v>50</v>
      </c>
    </row>
    <row r="13" spans="1:18">
      <c r="A13" s="1" t="s">
        <v>74</v>
      </c>
      <c r="B13" s="1">
        <v>2015</v>
      </c>
      <c r="C13" s="1">
        <v>10</v>
      </c>
      <c r="D13" s="1">
        <v>11</v>
      </c>
      <c r="E13">
        <v>40.8333333333333</v>
      </c>
      <c r="F13">
        <v>49.6666666666667</v>
      </c>
      <c r="G13">
        <v>107.333333333333</v>
      </c>
      <c r="H13">
        <v>1.22466666666667</v>
      </c>
      <c r="I13">
        <v>129.5</v>
      </c>
      <c r="J13">
        <v>51.8333333333333</v>
      </c>
      <c r="L13" s="1">
        <v>11</v>
      </c>
      <c r="M13">
        <f t="shared" si="0"/>
        <v>41</v>
      </c>
      <c r="N13">
        <f t="shared" si="0"/>
        <v>50</v>
      </c>
      <c r="O13">
        <f t="shared" si="0"/>
        <v>107</v>
      </c>
      <c r="P13">
        <f t="shared" si="1"/>
        <v>1.2</v>
      </c>
      <c r="Q13">
        <f t="shared" si="2"/>
        <v>130</v>
      </c>
      <c r="R13">
        <f t="shared" si="2"/>
        <v>52</v>
      </c>
    </row>
    <row r="14" spans="1:18">
      <c r="A14" s="1" t="s">
        <v>74</v>
      </c>
      <c r="B14" s="1">
        <v>2015</v>
      </c>
      <c r="C14" s="1">
        <v>10</v>
      </c>
      <c r="D14" s="1">
        <v>12</v>
      </c>
      <c r="E14">
        <v>16.2</v>
      </c>
      <c r="F14">
        <v>52</v>
      </c>
      <c r="G14">
        <v>107.8</v>
      </c>
      <c r="H14">
        <v>1.093</v>
      </c>
      <c r="I14">
        <v>132</v>
      </c>
      <c r="J14">
        <v>55.6</v>
      </c>
      <c r="L14" s="1">
        <v>12</v>
      </c>
      <c r="M14">
        <f t="shared" si="0"/>
        <v>16</v>
      </c>
      <c r="N14">
        <f t="shared" si="0"/>
        <v>52</v>
      </c>
      <c r="O14">
        <f t="shared" si="0"/>
        <v>108</v>
      </c>
      <c r="P14">
        <f t="shared" si="1"/>
        <v>1.1</v>
      </c>
      <c r="Q14">
        <f t="shared" si="2"/>
        <v>132</v>
      </c>
      <c r="R14">
        <f t="shared" si="2"/>
        <v>56</v>
      </c>
    </row>
    <row r="15" spans="1:18">
      <c r="A15" s="1" t="s">
        <v>74</v>
      </c>
      <c r="B15" s="1">
        <v>2015</v>
      </c>
      <c r="C15" s="1">
        <v>10</v>
      </c>
      <c r="D15" s="1">
        <v>13</v>
      </c>
      <c r="E15">
        <v>20.8</v>
      </c>
      <c r="F15">
        <v>51</v>
      </c>
      <c r="G15">
        <v>120</v>
      </c>
      <c r="H15">
        <v>0.878</v>
      </c>
      <c r="I15">
        <v>128</v>
      </c>
      <c r="J15">
        <v>61.8</v>
      </c>
      <c r="L15" s="1">
        <v>13</v>
      </c>
      <c r="M15">
        <f t="shared" si="0"/>
        <v>21</v>
      </c>
      <c r="N15">
        <f t="shared" si="0"/>
        <v>51</v>
      </c>
      <c r="O15">
        <f t="shared" si="0"/>
        <v>120</v>
      </c>
      <c r="P15">
        <f t="shared" si="1"/>
        <v>0.9</v>
      </c>
      <c r="Q15">
        <f t="shared" si="2"/>
        <v>128</v>
      </c>
      <c r="R15">
        <f t="shared" si="2"/>
        <v>62</v>
      </c>
    </row>
    <row r="16" spans="1:18">
      <c r="A16" s="1" t="s">
        <v>74</v>
      </c>
      <c r="B16" s="1">
        <v>2015</v>
      </c>
      <c r="C16" s="1">
        <v>10</v>
      </c>
      <c r="D16" s="1">
        <v>14</v>
      </c>
      <c r="E16">
        <v>23.25</v>
      </c>
      <c r="F16">
        <v>57.4</v>
      </c>
      <c r="G16">
        <v>118.6</v>
      </c>
      <c r="H16">
        <v>1.223</v>
      </c>
      <c r="I16">
        <v>138</v>
      </c>
      <c r="J16">
        <v>62.8</v>
      </c>
      <c r="L16" s="1">
        <v>14</v>
      </c>
      <c r="M16">
        <f t="shared" si="0"/>
        <v>23</v>
      </c>
      <c r="N16">
        <f t="shared" si="0"/>
        <v>57</v>
      </c>
      <c r="O16">
        <f t="shared" si="0"/>
        <v>119</v>
      </c>
      <c r="P16">
        <f t="shared" si="1"/>
        <v>1.2</v>
      </c>
      <c r="Q16">
        <f t="shared" si="2"/>
        <v>138</v>
      </c>
      <c r="R16">
        <f t="shared" si="2"/>
        <v>63</v>
      </c>
    </row>
    <row r="17" spans="1:18">
      <c r="A17" s="1" t="s">
        <v>74</v>
      </c>
      <c r="B17" s="1">
        <v>2015</v>
      </c>
      <c r="C17" s="1">
        <v>10</v>
      </c>
      <c r="D17" s="1">
        <v>15</v>
      </c>
      <c r="E17">
        <v>37</v>
      </c>
      <c r="F17">
        <v>64.3333333333333</v>
      </c>
      <c r="G17">
        <v>115.666666666667</v>
      </c>
      <c r="H17">
        <v>1.394</v>
      </c>
      <c r="I17">
        <v>143.666666666667</v>
      </c>
      <c r="J17">
        <v>59.3333333333333</v>
      </c>
      <c r="L17" s="1">
        <v>15</v>
      </c>
      <c r="M17">
        <f t="shared" si="0"/>
        <v>37</v>
      </c>
      <c r="N17">
        <f t="shared" si="0"/>
        <v>64</v>
      </c>
      <c r="O17">
        <f t="shared" si="0"/>
        <v>116</v>
      </c>
      <c r="P17">
        <f t="shared" si="1"/>
        <v>1.4</v>
      </c>
      <c r="Q17">
        <f t="shared" si="2"/>
        <v>144</v>
      </c>
      <c r="R17">
        <f t="shared" si="2"/>
        <v>59</v>
      </c>
    </row>
    <row r="18" spans="1:18">
      <c r="A18" s="1" t="s">
        <v>74</v>
      </c>
      <c r="B18" s="1">
        <v>2015</v>
      </c>
      <c r="C18" s="1">
        <v>10</v>
      </c>
      <c r="D18" s="1">
        <v>16</v>
      </c>
      <c r="E18">
        <v>20.6666666666667</v>
      </c>
      <c r="F18">
        <v>58.6666666666667</v>
      </c>
      <c r="G18">
        <v>127.666666666667</v>
      </c>
      <c r="H18">
        <v>1.13316666666667</v>
      </c>
      <c r="I18">
        <v>139.833333333333</v>
      </c>
      <c r="J18">
        <v>66.8333333333333</v>
      </c>
      <c r="L18" s="1">
        <v>16</v>
      </c>
      <c r="M18">
        <f t="shared" si="0"/>
        <v>21</v>
      </c>
      <c r="N18">
        <f t="shared" si="0"/>
        <v>59</v>
      </c>
      <c r="O18">
        <f t="shared" si="0"/>
        <v>128</v>
      </c>
      <c r="P18">
        <f t="shared" si="1"/>
        <v>1.1</v>
      </c>
      <c r="Q18">
        <f t="shared" si="2"/>
        <v>140</v>
      </c>
      <c r="R18">
        <f t="shared" si="2"/>
        <v>67</v>
      </c>
    </row>
    <row r="19" spans="1:18">
      <c r="A19" s="1" t="s">
        <v>74</v>
      </c>
      <c r="B19" s="1">
        <v>2015</v>
      </c>
      <c r="C19" s="1">
        <v>10</v>
      </c>
      <c r="D19" s="1">
        <v>17</v>
      </c>
      <c r="E19">
        <v>22.3333333333333</v>
      </c>
      <c r="F19">
        <v>51.3333333333333</v>
      </c>
      <c r="G19">
        <v>127.333333333333</v>
      </c>
      <c r="H19">
        <v>1.05416666666667</v>
      </c>
      <c r="I19">
        <v>160.666666666667</v>
      </c>
      <c r="J19">
        <v>73</v>
      </c>
      <c r="L19" s="1">
        <v>17</v>
      </c>
      <c r="M19">
        <f t="shared" si="0"/>
        <v>22</v>
      </c>
      <c r="N19">
        <f t="shared" si="0"/>
        <v>51</v>
      </c>
      <c r="O19">
        <f t="shared" si="0"/>
        <v>127</v>
      </c>
      <c r="P19">
        <f t="shared" si="1"/>
        <v>1.1</v>
      </c>
      <c r="Q19">
        <f t="shared" si="2"/>
        <v>161</v>
      </c>
      <c r="R19">
        <f t="shared" si="2"/>
        <v>73</v>
      </c>
    </row>
    <row r="20" spans="1:18">
      <c r="A20" s="1" t="s">
        <v>74</v>
      </c>
      <c r="B20" s="1">
        <v>2015</v>
      </c>
      <c r="C20" s="1">
        <v>10</v>
      </c>
      <c r="D20" s="1">
        <v>18</v>
      </c>
      <c r="E20">
        <v>22.3333333333333</v>
      </c>
      <c r="F20">
        <v>49.6666666666667</v>
      </c>
      <c r="G20">
        <v>138.666666666667</v>
      </c>
      <c r="H20">
        <v>0.950833333333333</v>
      </c>
      <c r="I20">
        <v>177.333333333333</v>
      </c>
      <c r="J20">
        <v>84.1666666666667</v>
      </c>
      <c r="L20" s="1">
        <v>18</v>
      </c>
      <c r="M20">
        <f t="shared" si="0"/>
        <v>22</v>
      </c>
      <c r="N20">
        <f t="shared" si="0"/>
        <v>50</v>
      </c>
      <c r="O20">
        <f t="shared" si="0"/>
        <v>139</v>
      </c>
      <c r="P20">
        <f t="shared" si="1"/>
        <v>1</v>
      </c>
      <c r="Q20">
        <f t="shared" si="2"/>
        <v>177</v>
      </c>
      <c r="R20">
        <f t="shared" si="2"/>
        <v>84</v>
      </c>
    </row>
    <row r="21" spans="1:18">
      <c r="A21" s="1" t="s">
        <v>74</v>
      </c>
      <c r="B21" s="1">
        <v>2015</v>
      </c>
      <c r="C21" s="1">
        <v>10</v>
      </c>
      <c r="D21" s="1">
        <v>19</v>
      </c>
      <c r="E21">
        <v>19.5</v>
      </c>
      <c r="F21">
        <v>48.5</v>
      </c>
      <c r="G21">
        <v>137</v>
      </c>
      <c r="H21">
        <v>0.880333333333333</v>
      </c>
      <c r="I21">
        <v>172.2</v>
      </c>
      <c r="J21">
        <v>79.3333333333333</v>
      </c>
      <c r="L21" s="1">
        <v>19</v>
      </c>
      <c r="M21">
        <f t="shared" si="0"/>
        <v>20</v>
      </c>
      <c r="N21">
        <f t="shared" si="0"/>
        <v>48</v>
      </c>
      <c r="O21">
        <f t="shared" si="0"/>
        <v>137</v>
      </c>
      <c r="P21">
        <f t="shared" si="1"/>
        <v>0.9</v>
      </c>
      <c r="Q21">
        <f t="shared" si="2"/>
        <v>172</v>
      </c>
      <c r="R21">
        <f t="shared" si="2"/>
        <v>79</v>
      </c>
    </row>
    <row r="22" spans="1:18">
      <c r="A22" s="1" t="s">
        <v>74</v>
      </c>
      <c r="B22" s="1">
        <v>2015</v>
      </c>
      <c r="C22" s="1">
        <v>10</v>
      </c>
      <c r="D22" s="1">
        <v>20</v>
      </c>
      <c r="E22">
        <v>26.5</v>
      </c>
      <c r="F22">
        <v>55.6666666666667</v>
      </c>
      <c r="G22">
        <v>145.666666666667</v>
      </c>
      <c r="H22">
        <v>1.0335</v>
      </c>
      <c r="I22">
        <v>179.5</v>
      </c>
      <c r="J22">
        <v>80.8333333333333</v>
      </c>
      <c r="L22" s="1">
        <v>20</v>
      </c>
      <c r="M22">
        <f t="shared" si="0"/>
        <v>26</v>
      </c>
      <c r="N22">
        <f t="shared" si="0"/>
        <v>56</v>
      </c>
      <c r="O22">
        <f t="shared" si="0"/>
        <v>146</v>
      </c>
      <c r="P22">
        <f t="shared" si="1"/>
        <v>1</v>
      </c>
      <c r="Q22">
        <f t="shared" si="2"/>
        <v>180</v>
      </c>
      <c r="R22">
        <f t="shared" si="2"/>
        <v>81</v>
      </c>
    </row>
    <row r="23" spans="1:18">
      <c r="A23" s="1" t="s">
        <v>74</v>
      </c>
      <c r="B23" s="1">
        <v>2015</v>
      </c>
      <c r="C23" s="1">
        <v>10</v>
      </c>
      <c r="D23" s="1">
        <v>21</v>
      </c>
      <c r="E23">
        <v>22</v>
      </c>
      <c r="F23">
        <v>53</v>
      </c>
      <c r="G23">
        <v>136.5</v>
      </c>
      <c r="H23">
        <v>0.903666666666667</v>
      </c>
      <c r="I23">
        <v>163.5</v>
      </c>
      <c r="J23">
        <v>74.1666666666667</v>
      </c>
      <c r="L23" s="1">
        <v>21</v>
      </c>
      <c r="M23">
        <f t="shared" si="0"/>
        <v>22</v>
      </c>
      <c r="N23">
        <f t="shared" si="0"/>
        <v>53</v>
      </c>
      <c r="O23">
        <f t="shared" si="0"/>
        <v>136</v>
      </c>
      <c r="P23">
        <f t="shared" si="1"/>
        <v>0.9</v>
      </c>
      <c r="Q23">
        <f t="shared" si="2"/>
        <v>164</v>
      </c>
      <c r="R23">
        <f t="shared" si="2"/>
        <v>74</v>
      </c>
    </row>
    <row r="24" spans="1:18">
      <c r="A24" s="1" t="s">
        <v>74</v>
      </c>
      <c r="B24" s="1">
        <v>2015</v>
      </c>
      <c r="C24" s="1">
        <v>10</v>
      </c>
      <c r="D24" s="1">
        <v>22</v>
      </c>
      <c r="E24">
        <v>25.1666666666667</v>
      </c>
      <c r="F24">
        <v>51.1666666666667</v>
      </c>
      <c r="G24">
        <v>133.666666666667</v>
      </c>
      <c r="H24">
        <v>0.8565</v>
      </c>
      <c r="I24">
        <v>155</v>
      </c>
      <c r="J24">
        <v>76</v>
      </c>
      <c r="L24" s="1">
        <v>22</v>
      </c>
      <c r="M24">
        <f t="shared" si="0"/>
        <v>25</v>
      </c>
      <c r="N24">
        <f t="shared" si="0"/>
        <v>51</v>
      </c>
      <c r="O24">
        <f t="shared" si="0"/>
        <v>134</v>
      </c>
      <c r="P24">
        <f t="shared" si="1"/>
        <v>0.9</v>
      </c>
      <c r="Q24">
        <f t="shared" si="2"/>
        <v>155</v>
      </c>
      <c r="R24">
        <f t="shared" si="2"/>
        <v>76</v>
      </c>
    </row>
    <row r="25" spans="1:18">
      <c r="A25" s="1" t="s">
        <v>74</v>
      </c>
      <c r="B25" s="1">
        <v>2015</v>
      </c>
      <c r="C25" s="1">
        <v>10</v>
      </c>
      <c r="D25" s="1">
        <v>23</v>
      </c>
      <c r="E25">
        <v>23.3333333333333</v>
      </c>
      <c r="F25">
        <v>55</v>
      </c>
      <c r="G25">
        <v>157.833333333333</v>
      </c>
      <c r="H25">
        <v>1.11266666666667</v>
      </c>
      <c r="I25">
        <v>148.666666666667</v>
      </c>
      <c r="J25">
        <v>88.1666666666667</v>
      </c>
      <c r="L25" s="1">
        <v>23</v>
      </c>
      <c r="M25">
        <f t="shared" si="0"/>
        <v>23</v>
      </c>
      <c r="N25">
        <f t="shared" si="0"/>
        <v>55</v>
      </c>
      <c r="O25">
        <f t="shared" si="0"/>
        <v>158</v>
      </c>
      <c r="P25">
        <f t="shared" si="1"/>
        <v>1.1</v>
      </c>
      <c r="Q25">
        <f t="shared" si="2"/>
        <v>149</v>
      </c>
      <c r="R25">
        <f t="shared" si="2"/>
        <v>88</v>
      </c>
    </row>
    <row r="26" spans="1:18">
      <c r="A26" s="1" t="s">
        <v>74</v>
      </c>
      <c r="B26" s="1">
        <v>2015</v>
      </c>
      <c r="C26" s="1">
        <v>10</v>
      </c>
      <c r="D26" s="1">
        <v>24</v>
      </c>
      <c r="E26">
        <v>19</v>
      </c>
      <c r="F26">
        <v>53.5</v>
      </c>
      <c r="G26">
        <v>139.5</v>
      </c>
      <c r="H26">
        <v>1.15666666666667</v>
      </c>
      <c r="I26">
        <v>142.833333333333</v>
      </c>
      <c r="J26">
        <v>79.6666666666667</v>
      </c>
      <c r="L26" s="1">
        <v>24</v>
      </c>
      <c r="M26">
        <f t="shared" si="0"/>
        <v>19</v>
      </c>
      <c r="N26">
        <f t="shared" si="0"/>
        <v>54</v>
      </c>
      <c r="O26">
        <f t="shared" si="0"/>
        <v>140</v>
      </c>
      <c r="P26">
        <f t="shared" si="1"/>
        <v>1.2</v>
      </c>
      <c r="Q26">
        <f t="shared" si="2"/>
        <v>143</v>
      </c>
      <c r="R26">
        <f t="shared" si="2"/>
        <v>80</v>
      </c>
    </row>
    <row r="27" spans="1:18">
      <c r="A27" s="1" t="s">
        <v>74</v>
      </c>
      <c r="B27" s="1">
        <v>2015</v>
      </c>
      <c r="C27" s="1">
        <v>10</v>
      </c>
      <c r="D27" s="1">
        <v>25</v>
      </c>
      <c r="E27">
        <v>21.8333333333333</v>
      </c>
      <c r="F27">
        <v>46.6666666666667</v>
      </c>
      <c r="G27">
        <v>127.333333333333</v>
      </c>
      <c r="H27">
        <v>1.10483333333333</v>
      </c>
      <c r="I27">
        <v>150.166666666667</v>
      </c>
      <c r="J27">
        <v>75.8333333333333</v>
      </c>
      <c r="L27" s="1">
        <v>25</v>
      </c>
      <c r="M27">
        <f t="shared" si="0"/>
        <v>22</v>
      </c>
      <c r="N27">
        <f t="shared" si="0"/>
        <v>47</v>
      </c>
      <c r="O27">
        <f t="shared" si="0"/>
        <v>127</v>
      </c>
      <c r="P27">
        <f t="shared" si="1"/>
        <v>1.1</v>
      </c>
      <c r="Q27">
        <f t="shared" si="2"/>
        <v>150</v>
      </c>
      <c r="R27">
        <f t="shared" si="2"/>
        <v>76</v>
      </c>
    </row>
    <row r="28" spans="1:18">
      <c r="A28" s="1" t="s">
        <v>74</v>
      </c>
      <c r="B28" s="1">
        <v>2015</v>
      </c>
      <c r="C28" s="1">
        <v>10</v>
      </c>
      <c r="D28" s="1">
        <v>26</v>
      </c>
      <c r="E28">
        <v>23</v>
      </c>
      <c r="F28">
        <v>38.3333333333333</v>
      </c>
      <c r="G28">
        <v>149.833333333333</v>
      </c>
      <c r="H28">
        <v>1.09383333333333</v>
      </c>
      <c r="I28">
        <v>129.6</v>
      </c>
      <c r="J28">
        <v>91.1666666666667</v>
      </c>
      <c r="L28" s="1">
        <v>26</v>
      </c>
      <c r="M28">
        <f t="shared" si="0"/>
        <v>23</v>
      </c>
      <c r="N28">
        <f t="shared" si="0"/>
        <v>38</v>
      </c>
      <c r="O28">
        <f t="shared" si="0"/>
        <v>150</v>
      </c>
      <c r="P28">
        <f t="shared" si="1"/>
        <v>1.1</v>
      </c>
      <c r="Q28">
        <f t="shared" si="2"/>
        <v>130</v>
      </c>
      <c r="R28">
        <f t="shared" si="2"/>
        <v>91</v>
      </c>
    </row>
    <row r="29" spans="1:18">
      <c r="A29" s="1" t="s">
        <v>74</v>
      </c>
      <c r="B29" s="1">
        <v>2015</v>
      </c>
      <c r="C29" s="1">
        <v>10</v>
      </c>
      <c r="D29" s="1">
        <v>27</v>
      </c>
      <c r="E29">
        <v>13.6666666666667</v>
      </c>
      <c r="F29">
        <v>34.5</v>
      </c>
      <c r="G29">
        <v>70.1666666666667</v>
      </c>
      <c r="H29">
        <v>0.535</v>
      </c>
      <c r="I29">
        <v>61.1666666666667</v>
      </c>
      <c r="J29">
        <v>32.3333333333333</v>
      </c>
      <c r="L29" s="1">
        <v>27</v>
      </c>
      <c r="M29">
        <f t="shared" si="0"/>
        <v>14</v>
      </c>
      <c r="N29">
        <f t="shared" si="0"/>
        <v>34</v>
      </c>
      <c r="O29">
        <f t="shared" si="0"/>
        <v>70</v>
      </c>
      <c r="P29">
        <f t="shared" si="1"/>
        <v>0.5</v>
      </c>
      <c r="Q29">
        <f t="shared" si="2"/>
        <v>61</v>
      </c>
      <c r="R29">
        <f t="shared" si="2"/>
        <v>32</v>
      </c>
    </row>
    <row r="30" spans="1:18">
      <c r="A30" s="1" t="s">
        <v>74</v>
      </c>
      <c r="B30" s="1">
        <v>2015</v>
      </c>
      <c r="C30" s="1">
        <v>10</v>
      </c>
      <c r="D30" s="1">
        <v>28</v>
      </c>
      <c r="E30">
        <v>18.3333333333333</v>
      </c>
      <c r="F30">
        <v>46.8333333333333</v>
      </c>
      <c r="G30">
        <v>110.166666666667</v>
      </c>
      <c r="H30">
        <v>0.925333333333333</v>
      </c>
      <c r="I30">
        <v>51.6666666666667</v>
      </c>
      <c r="J30">
        <v>62</v>
      </c>
      <c r="L30" s="1">
        <v>28</v>
      </c>
      <c r="M30">
        <f t="shared" si="0"/>
        <v>18</v>
      </c>
      <c r="N30">
        <f t="shared" si="0"/>
        <v>47</v>
      </c>
      <c r="O30">
        <f t="shared" si="0"/>
        <v>110</v>
      </c>
      <c r="P30">
        <f t="shared" si="1"/>
        <v>0.9</v>
      </c>
      <c r="Q30">
        <f t="shared" si="2"/>
        <v>52</v>
      </c>
      <c r="R30">
        <f t="shared" si="2"/>
        <v>62</v>
      </c>
    </row>
    <row r="31" spans="1:18">
      <c r="A31" s="1" t="s">
        <v>74</v>
      </c>
      <c r="B31" s="1">
        <v>2015</v>
      </c>
      <c r="C31" s="1">
        <v>10</v>
      </c>
      <c r="D31" s="1">
        <v>29</v>
      </c>
      <c r="E31">
        <v>12.1666666666667</v>
      </c>
      <c r="F31">
        <v>39.1666666666667</v>
      </c>
      <c r="G31">
        <v>61.1666666666667</v>
      </c>
      <c r="H31">
        <v>0.528166666666667</v>
      </c>
      <c r="I31">
        <v>15.1666666666667</v>
      </c>
      <c r="J31">
        <v>33.3333333333333</v>
      </c>
      <c r="L31" s="1">
        <v>29</v>
      </c>
      <c r="M31">
        <f t="shared" si="0"/>
        <v>12</v>
      </c>
      <c r="N31">
        <f t="shared" si="0"/>
        <v>39</v>
      </c>
      <c r="O31">
        <f t="shared" si="0"/>
        <v>61</v>
      </c>
      <c r="P31">
        <f t="shared" si="1"/>
        <v>0.5</v>
      </c>
      <c r="Q31">
        <f t="shared" si="2"/>
        <v>15</v>
      </c>
      <c r="R31">
        <f t="shared" si="2"/>
        <v>33</v>
      </c>
    </row>
    <row r="32" spans="1:18">
      <c r="A32" s="1" t="s">
        <v>74</v>
      </c>
      <c r="B32" s="1">
        <v>2015</v>
      </c>
      <c r="C32" s="1">
        <v>10</v>
      </c>
      <c r="D32" s="1">
        <v>30</v>
      </c>
      <c r="E32">
        <v>10.1666666666667</v>
      </c>
      <c r="F32">
        <v>33.1666666666667</v>
      </c>
      <c r="G32">
        <v>51</v>
      </c>
      <c r="H32">
        <v>0.6075</v>
      </c>
      <c r="I32">
        <v>32.5</v>
      </c>
      <c r="J32">
        <v>28.3333333333333</v>
      </c>
      <c r="L32" s="1">
        <v>30</v>
      </c>
      <c r="M32">
        <f t="shared" si="0"/>
        <v>10</v>
      </c>
      <c r="N32">
        <f t="shared" si="0"/>
        <v>33</v>
      </c>
      <c r="O32">
        <f t="shared" si="0"/>
        <v>51</v>
      </c>
      <c r="P32">
        <f t="shared" si="1"/>
        <v>0.6</v>
      </c>
      <c r="Q32">
        <f t="shared" si="2"/>
        <v>32</v>
      </c>
      <c r="R32">
        <f t="shared" si="2"/>
        <v>28</v>
      </c>
    </row>
    <row r="33" spans="1:18">
      <c r="A33" s="1" t="s">
        <v>74</v>
      </c>
      <c r="B33" s="1">
        <v>2015</v>
      </c>
      <c r="C33" s="1">
        <v>10</v>
      </c>
      <c r="D33" s="1">
        <v>31</v>
      </c>
      <c r="E33">
        <v>8.4</v>
      </c>
      <c r="F33">
        <v>36.4</v>
      </c>
      <c r="G33">
        <v>75.4</v>
      </c>
      <c r="H33">
        <v>0.652</v>
      </c>
      <c r="I33">
        <v>33.2</v>
      </c>
      <c r="J33">
        <v>43.2</v>
      </c>
      <c r="L33" s="1">
        <v>31</v>
      </c>
      <c r="M33">
        <f t="shared" si="0"/>
        <v>8</v>
      </c>
      <c r="N33">
        <f t="shared" si="0"/>
        <v>36</v>
      </c>
      <c r="O33">
        <f t="shared" si="0"/>
        <v>75</v>
      </c>
      <c r="P33">
        <f t="shared" si="1"/>
        <v>0.7</v>
      </c>
      <c r="Q33">
        <f t="shared" si="2"/>
        <v>33</v>
      </c>
      <c r="R33">
        <f t="shared" si="2"/>
        <v>43</v>
      </c>
    </row>
    <row r="35" spans="13:18">
      <c r="M35" t="s">
        <v>72</v>
      </c>
      <c r="N35" t="s">
        <v>67</v>
      </c>
      <c r="O35" t="s">
        <v>73</v>
      </c>
      <c r="P35" t="s">
        <v>75</v>
      </c>
      <c r="Q35" t="s">
        <v>76</v>
      </c>
      <c r="R35" t="s">
        <v>71</v>
      </c>
    </row>
    <row r="36" spans="12:18">
      <c r="L36" s="1" t="s">
        <v>77</v>
      </c>
      <c r="M36">
        <f t="shared" ref="M36:O36" si="3">(ROUND(AVERAGE(M3:M33),0)-(MOD(AVERAGE(M3:M33),2)=0.5))</f>
        <v>23</v>
      </c>
      <c r="N36">
        <f t="shared" si="3"/>
        <v>44</v>
      </c>
      <c r="O36">
        <f t="shared" si="3"/>
        <v>103</v>
      </c>
      <c r="P36">
        <f>(ROUND(PERCENTILE(P3:P33,0.95)*10,0)-(MOD(PERCENTILE(P3:P33,0.95)*10,2)=0.5))/10</f>
        <v>1.2</v>
      </c>
      <c r="Q36">
        <f>(ROUND(PERCENTILE(Q3:Q33,0.9),0)-(MOD(PERCENTILE(Q3:Q33,0.9),2)=0.5))</f>
        <v>164</v>
      </c>
      <c r="R36">
        <f>(ROUND(AVERAGE(R3:R33),0)-(MOD(AVERAGE(R3:R33),2)=0.5))</f>
        <v>56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城市日均浓度</vt:lpstr>
      <vt:lpstr>对照点日均浓度</vt:lpstr>
      <vt:lpstr>监测点1日均浓度</vt:lpstr>
      <vt:lpstr>监测点2日均浓度</vt:lpstr>
      <vt:lpstr>环境空气情况汇总表</vt:lpstr>
      <vt:lpstr>日均值修约表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2019-08-02T01:30:51Z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